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queryTables/queryTable89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73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queryTables/queryTable15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queryTables/queryTable188.xml" ContentType="application/vnd.openxmlformats-officedocument.spreadsheetml.queryTable+xml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177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70.bin" ContentType="application/vnd.ms-office.activeX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activeX/activeX87.xml" ContentType="application/vnd.ms-office.activeX+xml"/>
  <Override PartName="/xl/queryTables/queryTable138.xml" ContentType="application/vnd.openxmlformats-officedocument.spreadsheetml.queryTable+xml"/>
  <Override PartName="/xl/activeX/activeX98.xml" ContentType="application/vnd.ms-office.activeX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activeX/activeX76.xml" ContentType="application/vnd.ms-office.activeX+xml"/>
  <Override PartName="/xl/queryTables/queryTable174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activeX/activeX65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queryTables/queryTable179.xml" ContentType="application/vnd.openxmlformats-officedocument.spreadsheetml.queryTable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queryTables/queryTable77.xml" ContentType="application/vnd.openxmlformats-officedocument.spreadsheetml.queryTable+xml"/>
  <Override PartName="/xl/activeX/activeX72.bin" ContentType="application/vnd.ms-office.activeX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activeX/activeX73.xml" ContentType="application/vnd.ms-office.activeX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activeX/activeX81.xml" ContentType="application/vnd.ms-office.activeX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activeX/activeX63.bin" ContentType="application/vnd.ms-office.activeX"/>
  <Override PartName="/xl/queryTables/queryTable68.xml" ContentType="application/vnd.openxmlformats-officedocument.spreadsheetml.queryTable+xml"/>
  <Override PartName="/xl/activeX/activeX97.xml" ContentType="application/vnd.ms-office.activeX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queryTables/queryTable16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activeX/activeX71.bin" ContentType="application/vnd.ms-office.activeX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activeX/activeX72.xml" ContentType="application/vnd.ms-office.activeX+xml"/>
  <Override PartName="/xl/queryTables/queryTable170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queryTables/queryTable197.xml" ContentType="application/vnd.openxmlformats-officedocument.spreadsheetml.queryTable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activeX/activeX66.xml" ContentType="application/vnd.ms-office.activeX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59.bin" ContentType="application/vnd.ms-office.activeX"/>
  <Override PartName="/xl/queryTables/queryTable8.xml" ContentType="application/vnd.openxmlformats-officedocument.spreadsheetml.queryTable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queryTables/queryTable169.xml" ContentType="application/vnd.openxmlformats-officedocument.spreadsheetml.queryTable+xml"/>
  <Override PartName="/xl/charts/colors1.xml" ContentType="application/vnd.ms-office.chartcolorstyle+xml"/>
  <Override PartName="/xl/activeX/activeX15.bin" ContentType="application/vnd.ms-office.activeX"/>
  <Override PartName="/xl/activeX/activeX62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A737" i="2" l="1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N737"/>
  <c r="G737"/>
  <c r="F737"/>
  <c r="E737"/>
  <c r="D737"/>
  <c r="C737"/>
  <c r="N736"/>
  <c r="G736"/>
  <c r="F736"/>
  <c r="E736"/>
  <c r="D736"/>
  <c r="C736"/>
  <c r="N735"/>
  <c r="G735"/>
  <c r="F735"/>
  <c r="E735"/>
  <c r="D735"/>
  <c r="C735"/>
  <c r="N734"/>
  <c r="G734"/>
  <c r="F734"/>
  <c r="E734"/>
  <c r="D734"/>
  <c r="C734"/>
  <c r="N733"/>
  <c r="G733"/>
  <c r="F733"/>
  <c r="E733"/>
  <c r="D733"/>
  <c r="C733"/>
  <c r="N732"/>
  <c r="G732"/>
  <c r="F732"/>
  <c r="E732"/>
  <c r="D732"/>
  <c r="C732"/>
  <c r="N731"/>
  <c r="G731"/>
  <c r="F731"/>
  <c r="E731"/>
  <c r="D731"/>
  <c r="C731"/>
  <c r="N730"/>
  <c r="G730"/>
  <c r="F730"/>
  <c r="E730"/>
  <c r="D730"/>
  <c r="C730"/>
  <c r="N729"/>
  <c r="G729"/>
  <c r="F729"/>
  <c r="E729"/>
  <c r="D729"/>
  <c r="C729"/>
  <c r="N728"/>
  <c r="G728"/>
  <c r="F728"/>
  <c r="E728"/>
  <c r="D728"/>
  <c r="C728"/>
  <c r="N727"/>
  <c r="G727"/>
  <c r="F727"/>
  <c r="E727"/>
  <c r="D727"/>
  <c r="C727"/>
  <c r="N726"/>
  <c r="G726"/>
  <c r="F726"/>
  <c r="E726"/>
  <c r="D726"/>
  <c r="C726"/>
  <c r="N725"/>
  <c r="G725"/>
  <c r="F725"/>
  <c r="E725"/>
  <c r="D725"/>
  <c r="C725"/>
  <c r="N724"/>
  <c r="G724"/>
  <c r="F724"/>
  <c r="E724"/>
  <c r="D724"/>
  <c r="C724"/>
  <c r="N723"/>
  <c r="G723"/>
  <c r="F723"/>
  <c r="E723"/>
  <c r="D723"/>
  <c r="C723"/>
  <c r="N722"/>
  <c r="G722"/>
  <c r="F722"/>
  <c r="E722"/>
  <c r="D722"/>
  <c r="C722"/>
  <c r="N721"/>
  <c r="G721"/>
  <c r="F721"/>
  <c r="E721"/>
  <c r="D721"/>
  <c r="C721"/>
  <c r="N720"/>
  <c r="G720"/>
  <c r="F720"/>
  <c r="E720"/>
  <c r="D720"/>
  <c r="C720"/>
  <c r="N719"/>
  <c r="G719"/>
  <c r="F719"/>
  <c r="E719"/>
  <c r="D719"/>
  <c r="C719"/>
  <c r="N718"/>
  <c r="G718"/>
  <c r="F718"/>
  <c r="E718"/>
  <c r="D718"/>
  <c r="C718"/>
  <c r="N717"/>
  <c r="G717"/>
  <c r="F717"/>
  <c r="E717"/>
  <c r="D717"/>
  <c r="C717"/>
  <c r="N716"/>
  <c r="G716"/>
  <c r="F716"/>
  <c r="E716"/>
  <c r="D716"/>
  <c r="C716"/>
  <c r="N715"/>
  <c r="G715"/>
  <c r="F715"/>
  <c r="E715"/>
  <c r="D715"/>
  <c r="C715"/>
  <c r="N714"/>
  <c r="G714"/>
  <c r="F714"/>
  <c r="E714"/>
  <c r="D714"/>
  <c r="C714"/>
  <c r="N713"/>
  <c r="G713"/>
  <c r="F713"/>
  <c r="E713"/>
  <c r="D713"/>
  <c r="C713"/>
  <c r="N712"/>
  <c r="G712"/>
  <c r="F712"/>
  <c r="E712"/>
  <c r="D712"/>
  <c r="C712"/>
  <c r="N711"/>
  <c r="G711"/>
  <c r="F711"/>
  <c r="E711"/>
  <c r="D711"/>
  <c r="C711"/>
  <c r="N710"/>
  <c r="G710"/>
  <c r="F710"/>
  <c r="E710"/>
  <c r="D710"/>
  <c r="C710"/>
  <c r="N709"/>
  <c r="G709"/>
  <c r="F709"/>
  <c r="E709"/>
  <c r="D709"/>
  <c r="C709"/>
  <c r="N708"/>
  <c r="G708"/>
  <c r="F708"/>
  <c r="E708"/>
  <c r="D708"/>
  <c r="C708"/>
  <c r="N707"/>
  <c r="G707"/>
  <c r="F707"/>
  <c r="E707"/>
  <c r="D707"/>
  <c r="C707"/>
  <c r="N706"/>
  <c r="G706"/>
  <c r="F706"/>
  <c r="E706"/>
  <c r="D706"/>
  <c r="C706"/>
  <c r="N705"/>
  <c r="G705"/>
  <c r="F705"/>
  <c r="E705"/>
  <c r="D705"/>
  <c r="C705"/>
  <c r="N704"/>
  <c r="G704"/>
  <c r="F704"/>
  <c r="E704"/>
  <c r="D704"/>
  <c r="C704"/>
  <c r="N703"/>
  <c r="G703"/>
  <c r="F703"/>
  <c r="E703"/>
  <c r="D703"/>
  <c r="C703"/>
  <c r="N702"/>
  <c r="G702"/>
  <c r="F702"/>
  <c r="E702"/>
  <c r="D702"/>
  <c r="C702"/>
  <c r="N701"/>
  <c r="G701"/>
  <c r="F701"/>
  <c r="E701"/>
  <c r="D701"/>
  <c r="C701"/>
  <c r="N700"/>
  <c r="G700"/>
  <c r="F700"/>
  <c r="E700"/>
  <c r="D700"/>
  <c r="C700"/>
  <c r="N699"/>
  <c r="G699"/>
  <c r="F699"/>
  <c r="E699"/>
  <c r="D699"/>
  <c r="C699"/>
  <c r="N698"/>
  <c r="G698"/>
  <c r="F698"/>
  <c r="E698"/>
  <c r="D698"/>
  <c r="C698"/>
  <c r="N697"/>
  <c r="G697"/>
  <c r="F697"/>
  <c r="E697"/>
  <c r="D697"/>
  <c r="C697"/>
  <c r="N696"/>
  <c r="G696"/>
  <c r="F696"/>
  <c r="E696"/>
  <c r="D696"/>
  <c r="C696"/>
  <c r="N695"/>
  <c r="G695"/>
  <c r="F695"/>
  <c r="E695"/>
  <c r="D695"/>
  <c r="C695"/>
  <c r="N694"/>
  <c r="G694"/>
  <c r="F694"/>
  <c r="E694"/>
  <c r="D694"/>
  <c r="C694"/>
  <c r="N693"/>
  <c r="G693"/>
  <c r="F693"/>
  <c r="E693"/>
  <c r="D693"/>
  <c r="C693"/>
  <c r="N692"/>
  <c r="G692"/>
  <c r="F692"/>
  <c r="E692"/>
  <c r="D692"/>
  <c r="C692"/>
  <c r="N691"/>
  <c r="G691"/>
  <c r="F691"/>
  <c r="E691"/>
  <c r="D691"/>
  <c r="C691"/>
  <c r="N690"/>
  <c r="G690"/>
  <c r="F690"/>
  <c r="E690"/>
  <c r="D690"/>
  <c r="C690"/>
  <c r="N689"/>
  <c r="G689"/>
  <c r="F689"/>
  <c r="E689"/>
  <c r="D689"/>
  <c r="C689"/>
  <c r="N688"/>
  <c r="G688"/>
  <c r="F688"/>
  <c r="E688"/>
  <c r="D688"/>
  <c r="C688"/>
  <c r="N687"/>
  <c r="G687"/>
  <c r="F687"/>
  <c r="E687"/>
  <c r="D687"/>
  <c r="C687"/>
  <c r="N686"/>
  <c r="G686"/>
  <c r="F686"/>
  <c r="E686"/>
  <c r="D686"/>
  <c r="C686"/>
  <c r="N685"/>
  <c r="G685"/>
  <c r="F685"/>
  <c r="E685"/>
  <c r="D685"/>
  <c r="C685"/>
  <c r="N684"/>
  <c r="G684"/>
  <c r="F684"/>
  <c r="E684"/>
  <c r="D684"/>
  <c r="C684"/>
  <c r="N683"/>
  <c r="G683"/>
  <c r="F683"/>
  <c r="E683"/>
  <c r="D683"/>
  <c r="C683"/>
  <c r="N682"/>
  <c r="G682"/>
  <c r="F682"/>
  <c r="E682"/>
  <c r="D682"/>
  <c r="C682"/>
  <c r="N681"/>
  <c r="G681"/>
  <c r="F681"/>
  <c r="E681"/>
  <c r="D681"/>
  <c r="C681"/>
  <c r="N680"/>
  <c r="G680"/>
  <c r="F680"/>
  <c r="E680"/>
  <c r="D680"/>
  <c r="C680"/>
  <c r="N679"/>
  <c r="G679"/>
  <c r="F679"/>
  <c r="E679"/>
  <c r="D679"/>
  <c r="C679"/>
  <c r="N678"/>
  <c r="G678"/>
  <c r="F678"/>
  <c r="E678"/>
  <c r="D678"/>
  <c r="C678"/>
  <c r="N677"/>
  <c r="G677"/>
  <c r="F677"/>
  <c r="E677"/>
  <c r="D677"/>
  <c r="C677"/>
  <c r="N676"/>
  <c r="G676"/>
  <c r="F676"/>
  <c r="E676"/>
  <c r="D676"/>
  <c r="C676"/>
  <c r="N675"/>
  <c r="G675"/>
  <c r="F675"/>
  <c r="E675"/>
  <c r="D675"/>
  <c r="C675"/>
  <c r="N674"/>
  <c r="G674"/>
  <c r="F674"/>
  <c r="E674"/>
  <c r="D674"/>
  <c r="C674"/>
  <c r="N673"/>
  <c r="G673"/>
  <c r="F673"/>
  <c r="E673"/>
  <c r="D673"/>
  <c r="C673"/>
  <c r="N672"/>
  <c r="G672"/>
  <c r="F672"/>
  <c r="E672"/>
  <c r="D672"/>
  <c r="C672"/>
  <c r="N671"/>
  <c r="G671"/>
  <c r="F671"/>
  <c r="E671"/>
  <c r="D671"/>
  <c r="C671"/>
  <c r="N670"/>
  <c r="G670"/>
  <c r="F670"/>
  <c r="E670"/>
  <c r="D670"/>
  <c r="C670"/>
  <c r="N669"/>
  <c r="G669"/>
  <c r="F669"/>
  <c r="E669"/>
  <c r="D669"/>
  <c r="C669"/>
  <c r="N668"/>
  <c r="G668"/>
  <c r="F668"/>
  <c r="E668"/>
  <c r="D668"/>
  <c r="C668"/>
  <c r="N667"/>
  <c r="G667"/>
  <c r="F667"/>
  <c r="E667"/>
  <c r="D667"/>
  <c r="C667"/>
  <c r="N666"/>
  <c r="G666"/>
  <c r="F666"/>
  <c r="E666"/>
  <c r="D666"/>
  <c r="C666"/>
  <c r="N665"/>
  <c r="G665"/>
  <c r="F665"/>
  <c r="E665"/>
  <c r="D665"/>
  <c r="C665"/>
  <c r="N664"/>
  <c r="G664"/>
  <c r="F664"/>
  <c r="E664"/>
  <c r="D664"/>
  <c r="C664"/>
  <c r="N663"/>
  <c r="G663"/>
  <c r="F663"/>
  <c r="E663"/>
  <c r="D663"/>
  <c r="C663"/>
  <c r="N662"/>
  <c r="G662"/>
  <c r="F662"/>
  <c r="E662"/>
  <c r="D662"/>
  <c r="C662"/>
  <c r="N661"/>
  <c r="G661"/>
  <c r="F661"/>
  <c r="E661"/>
  <c r="D661"/>
  <c r="C661"/>
  <c r="N660"/>
  <c r="G660"/>
  <c r="F660"/>
  <c r="E660"/>
  <c r="D660"/>
  <c r="C660"/>
  <c r="N659"/>
  <c r="G659"/>
  <c r="F659"/>
  <c r="E659"/>
  <c r="D659"/>
  <c r="C659"/>
  <c r="N658"/>
  <c r="G658"/>
  <c r="F658"/>
  <c r="E658"/>
  <c r="D658"/>
  <c r="C658"/>
  <c r="N657"/>
  <c r="G657"/>
  <c r="F657"/>
  <c r="E657"/>
  <c r="D657"/>
  <c r="C657"/>
  <c r="N656"/>
  <c r="G656"/>
  <c r="F656"/>
  <c r="E656"/>
  <c r="D656"/>
  <c r="C656"/>
  <c r="N655"/>
  <c r="G655"/>
  <c r="F655"/>
  <c r="E655"/>
  <c r="D655"/>
  <c r="C655"/>
  <c r="N654"/>
  <c r="G654"/>
  <c r="F654"/>
  <c r="E654"/>
  <c r="D654"/>
  <c r="C654"/>
  <c r="N653"/>
  <c r="G653"/>
  <c r="F653"/>
  <c r="E653"/>
  <c r="D653"/>
  <c r="C653"/>
  <c r="N652"/>
  <c r="G652"/>
  <c r="F652"/>
  <c r="E652"/>
  <c r="D652"/>
  <c r="C652"/>
  <c r="N651"/>
  <c r="G651"/>
  <c r="F651"/>
  <c r="E651"/>
  <c r="D651"/>
  <c r="C651"/>
  <c r="N650"/>
  <c r="G650"/>
  <c r="F650"/>
  <c r="E650"/>
  <c r="D650"/>
  <c r="C650"/>
  <c r="N649"/>
  <c r="G649"/>
  <c r="F649"/>
  <c r="E649"/>
  <c r="D649"/>
  <c r="C649"/>
  <c r="N648"/>
  <c r="G648"/>
  <c r="F648"/>
  <c r="E648"/>
  <c r="D648"/>
  <c r="C648"/>
  <c r="N647"/>
  <c r="G647"/>
  <c r="F647"/>
  <c r="E647"/>
  <c r="D647"/>
  <c r="C647"/>
  <c r="N646"/>
  <c r="G646"/>
  <c r="F646"/>
  <c r="E646"/>
  <c r="D646"/>
  <c r="C646"/>
  <c r="N645"/>
  <c r="G645"/>
  <c r="F645"/>
  <c r="E645"/>
  <c r="D645"/>
  <c r="C645"/>
  <c r="N644"/>
  <c r="G644"/>
  <c r="F644"/>
  <c r="E644"/>
  <c r="D644"/>
  <c r="C644"/>
  <c r="N643"/>
  <c r="G643"/>
  <c r="F643"/>
  <c r="E643"/>
  <c r="D643"/>
  <c r="C643"/>
  <c r="N642"/>
  <c r="G642"/>
  <c r="F642"/>
  <c r="E642"/>
  <c r="D642"/>
  <c r="C642"/>
  <c r="N641"/>
  <c r="G641"/>
  <c r="F641"/>
  <c r="E641"/>
  <c r="D641"/>
  <c r="C641"/>
  <c r="N640"/>
  <c r="G640"/>
  <c r="F640"/>
  <c r="E640"/>
  <c r="D640"/>
  <c r="C640"/>
  <c r="N639"/>
  <c r="G639"/>
  <c r="F639"/>
  <c r="E639"/>
  <c r="D639"/>
  <c r="C639"/>
  <c r="N638"/>
  <c r="G638"/>
  <c r="F638"/>
  <c r="E638"/>
  <c r="D638"/>
  <c r="C638"/>
  <c r="N637"/>
  <c r="G637"/>
  <c r="F637"/>
  <c r="E637"/>
  <c r="D637"/>
  <c r="C637"/>
  <c r="N636"/>
  <c r="G636"/>
  <c r="F636"/>
  <c r="E636"/>
  <c r="D636"/>
  <c r="C636"/>
  <c r="N635"/>
  <c r="G635"/>
  <c r="F635"/>
  <c r="E635"/>
  <c r="D635"/>
  <c r="C635"/>
  <c r="N634"/>
  <c r="G634"/>
  <c r="F634"/>
  <c r="E634"/>
  <c r="D634"/>
  <c r="C634"/>
  <c r="N633"/>
  <c r="G633"/>
  <c r="F633"/>
  <c r="E633"/>
  <c r="D633"/>
  <c r="C633"/>
  <c r="N632"/>
  <c r="G632"/>
  <c r="F632"/>
  <c r="E632"/>
  <c r="D632"/>
  <c r="C632"/>
  <c r="N631"/>
  <c r="G631"/>
  <c r="F631"/>
  <c r="E631"/>
  <c r="D631"/>
  <c r="C631"/>
  <c r="N630"/>
  <c r="G630"/>
  <c r="F630"/>
  <c r="E630"/>
  <c r="D630"/>
  <c r="C630"/>
  <c r="N629"/>
  <c r="G629"/>
  <c r="F629"/>
  <c r="E629"/>
  <c r="D629"/>
  <c r="C629"/>
  <c r="N628"/>
  <c r="G628"/>
  <c r="F628"/>
  <c r="E628"/>
  <c r="D628"/>
  <c r="C628"/>
  <c r="N627"/>
  <c r="G627"/>
  <c r="F627"/>
  <c r="E627"/>
  <c r="D627"/>
  <c r="C627"/>
  <c r="N626"/>
  <c r="G626"/>
  <c r="F626"/>
  <c r="E626"/>
  <c r="D626"/>
  <c r="C626"/>
  <c r="N625"/>
  <c r="G625"/>
  <c r="F625"/>
  <c r="E625"/>
  <c r="D625"/>
  <c r="C625"/>
  <c r="N624"/>
  <c r="G624"/>
  <c r="F624"/>
  <c r="E624"/>
  <c r="D624"/>
  <c r="C624"/>
  <c r="N623"/>
  <c r="G623"/>
  <c r="F623"/>
  <c r="E623"/>
  <c r="D623"/>
  <c r="C623"/>
  <c r="N622"/>
  <c r="G622"/>
  <c r="F622"/>
  <c r="E622"/>
  <c r="D622"/>
  <c r="C622"/>
  <c r="N621"/>
  <c r="G621"/>
  <c r="F621"/>
  <c r="E621"/>
  <c r="D621"/>
  <c r="C621"/>
  <c r="N620"/>
  <c r="G620"/>
  <c r="F620"/>
  <c r="E620"/>
  <c r="D620"/>
  <c r="C620"/>
  <c r="N619"/>
  <c r="G619"/>
  <c r="F619"/>
  <c r="E619"/>
  <c r="D619"/>
  <c r="C619"/>
  <c r="N618"/>
  <c r="G618"/>
  <c r="F618"/>
  <c r="E618"/>
  <c r="D618"/>
  <c r="C618"/>
  <c r="N617"/>
  <c r="G617"/>
  <c r="F617"/>
  <c r="E617"/>
  <c r="D617"/>
  <c r="C617"/>
  <c r="N616"/>
  <c r="G616"/>
  <c r="F616"/>
  <c r="E616"/>
  <c r="D616"/>
  <c r="C616"/>
  <c r="N615"/>
  <c r="G615"/>
  <c r="F615"/>
  <c r="E615"/>
  <c r="D615"/>
  <c r="C615"/>
  <c r="N614"/>
  <c r="G614"/>
  <c r="F614"/>
  <c r="E614"/>
  <c r="D614"/>
  <c r="C614"/>
  <c r="N613"/>
  <c r="G613"/>
  <c r="F613"/>
  <c r="E613"/>
  <c r="D613"/>
  <c r="C613"/>
  <c r="N612"/>
  <c r="G612"/>
  <c r="F612"/>
  <c r="E612"/>
  <c r="D612"/>
  <c r="C612"/>
  <c r="N611"/>
  <c r="G611"/>
  <c r="F611"/>
  <c r="E611"/>
  <c r="D611"/>
  <c r="C611"/>
  <c r="N610"/>
  <c r="G610"/>
  <c r="F610"/>
  <c r="E610"/>
  <c r="D610"/>
  <c r="C610"/>
  <c r="N609"/>
  <c r="G609"/>
  <c r="F609"/>
  <c r="E609"/>
  <c r="D609"/>
  <c r="C609"/>
  <c r="N608"/>
  <c r="G608"/>
  <c r="F608"/>
  <c r="E608"/>
  <c r="D608"/>
  <c r="C608"/>
  <c r="N607"/>
  <c r="G607"/>
  <c r="F607"/>
  <c r="E607"/>
  <c r="D607"/>
  <c r="C607"/>
  <c r="N606"/>
  <c r="G606"/>
  <c r="F606"/>
  <c r="E606"/>
  <c r="D606"/>
  <c r="C606"/>
  <c r="N605"/>
  <c r="G605"/>
  <c r="F605"/>
  <c r="E605"/>
  <c r="D605"/>
  <c r="C605"/>
  <c r="N604"/>
  <c r="G604"/>
  <c r="F604"/>
  <c r="E604"/>
  <c r="D604"/>
  <c r="C604"/>
  <c r="N603"/>
  <c r="G603"/>
  <c r="F603"/>
  <c r="E603"/>
  <c r="D603"/>
  <c r="C603"/>
  <c r="N602"/>
  <c r="G602"/>
  <c r="F602"/>
  <c r="E602"/>
  <c r="D602"/>
  <c r="C602"/>
  <c r="N601"/>
  <c r="G601"/>
  <c r="F601"/>
  <c r="E601"/>
  <c r="D601"/>
  <c r="C601"/>
  <c r="N600"/>
  <c r="G600"/>
  <c r="F600"/>
  <c r="E600"/>
  <c r="D600"/>
  <c r="C600"/>
  <c r="N599"/>
  <c r="G599"/>
  <c r="F599"/>
  <c r="E599"/>
  <c r="D599"/>
  <c r="C599"/>
  <c r="N598"/>
  <c r="G598"/>
  <c r="F598"/>
  <c r="E598"/>
  <c r="D598"/>
  <c r="C598"/>
  <c r="N597"/>
  <c r="G597"/>
  <c r="F597"/>
  <c r="E597"/>
  <c r="D597"/>
  <c r="C597"/>
  <c r="N596"/>
  <c r="G596"/>
  <c r="F596"/>
  <c r="E596"/>
  <c r="D596"/>
  <c r="C596"/>
  <c r="N595"/>
  <c r="G595"/>
  <c r="F595"/>
  <c r="E595"/>
  <c r="D595"/>
  <c r="C595"/>
  <c r="N594"/>
  <c r="G594"/>
  <c r="F594"/>
  <c r="E594"/>
  <c r="D594"/>
  <c r="C594"/>
  <c r="N593"/>
  <c r="G593"/>
  <c r="F593"/>
  <c r="E593"/>
  <c r="D593"/>
  <c r="C593"/>
  <c r="N592"/>
  <c r="G592"/>
  <c r="F592"/>
  <c r="E592"/>
  <c r="D592"/>
  <c r="C592"/>
  <c r="N591"/>
  <c r="G591"/>
  <c r="F591"/>
  <c r="E591"/>
  <c r="D591"/>
  <c r="C591"/>
  <c r="N590"/>
  <c r="G590"/>
  <c r="F590"/>
  <c r="E590"/>
  <c r="D590"/>
  <c r="C590"/>
  <c r="N589"/>
  <c r="G589"/>
  <c r="F589"/>
  <c r="E589"/>
  <c r="D589"/>
  <c r="C589"/>
  <c r="N588"/>
  <c r="G588"/>
  <c r="F588"/>
  <c r="E588"/>
  <c r="D588"/>
  <c r="C588"/>
  <c r="N587"/>
  <c r="G587"/>
  <c r="F587"/>
  <c r="E587"/>
  <c r="D587"/>
  <c r="C587"/>
  <c r="N586"/>
  <c r="G586"/>
  <c r="F586"/>
  <c r="E586"/>
  <c r="D586"/>
  <c r="C586"/>
  <c r="N585"/>
  <c r="G585"/>
  <c r="F585"/>
  <c r="E585"/>
  <c r="D585"/>
  <c r="C585"/>
  <c r="N584"/>
  <c r="G584"/>
  <c r="F584"/>
  <c r="E584"/>
  <c r="D584"/>
  <c r="C584"/>
  <c r="N583"/>
  <c r="G583"/>
  <c r="F583"/>
  <c r="E583"/>
  <c r="D583"/>
  <c r="C583"/>
  <c r="N582"/>
  <c r="G582"/>
  <c r="F582"/>
  <c r="E582"/>
  <c r="D582"/>
  <c r="C582"/>
  <c r="N581"/>
  <c r="G581"/>
  <c r="F581"/>
  <c r="E581"/>
  <c r="D581"/>
  <c r="C581"/>
  <c r="N580"/>
  <c r="G580"/>
  <c r="F580"/>
  <c r="E580"/>
  <c r="D580"/>
  <c r="C580"/>
  <c r="N579"/>
  <c r="G579"/>
  <c r="F579"/>
  <c r="E579"/>
  <c r="D579"/>
  <c r="C579"/>
  <c r="N578"/>
  <c r="G578"/>
  <c r="F578"/>
  <c r="E578"/>
  <c r="D578"/>
  <c r="C578"/>
  <c r="N577"/>
  <c r="G577"/>
  <c r="F577"/>
  <c r="E577"/>
  <c r="D577"/>
  <c r="C577"/>
  <c r="N576"/>
  <c r="G576"/>
  <c r="F576"/>
  <c r="E576"/>
  <c r="D576"/>
  <c r="C576"/>
  <c r="N575"/>
  <c r="G575"/>
  <c r="F575"/>
  <c r="E575"/>
  <c r="D575"/>
  <c r="C575"/>
  <c r="N574"/>
  <c r="G574"/>
  <c r="F574"/>
  <c r="E574"/>
  <c r="D574"/>
  <c r="C574"/>
  <c r="N573"/>
  <c r="G573"/>
  <c r="F573"/>
  <c r="E573"/>
  <c r="D573"/>
  <c r="C573"/>
  <c r="N572"/>
  <c r="G572"/>
  <c r="F572"/>
  <c r="E572"/>
  <c r="D572"/>
  <c r="C572"/>
  <c r="N571"/>
  <c r="G571"/>
  <c r="F571"/>
  <c r="E571"/>
  <c r="D571"/>
  <c r="C571"/>
  <c r="N570"/>
  <c r="G570"/>
  <c r="F570"/>
  <c r="E570"/>
  <c r="D570"/>
  <c r="C570"/>
  <c r="N569"/>
  <c r="G569"/>
  <c r="F569"/>
  <c r="E569"/>
  <c r="D569"/>
  <c r="C569"/>
  <c r="N568"/>
  <c r="G568"/>
  <c r="F568"/>
  <c r="E568"/>
  <c r="D568"/>
  <c r="C568"/>
  <c r="N567"/>
  <c r="G567"/>
  <c r="F567"/>
  <c r="E567"/>
  <c r="D567"/>
  <c r="C567"/>
  <c r="N566"/>
  <c r="G566"/>
  <c r="F566"/>
  <c r="E566"/>
  <c r="D566"/>
  <c r="C566"/>
  <c r="N565"/>
  <c r="G565"/>
  <c r="F565"/>
  <c r="E565"/>
  <c r="D565"/>
  <c r="C565"/>
  <c r="N564"/>
  <c r="G564"/>
  <c r="F564"/>
  <c r="E564"/>
  <c r="D564"/>
  <c r="C564"/>
  <c r="N563"/>
  <c r="G563"/>
  <c r="F563"/>
  <c r="E563"/>
  <c r="D563"/>
  <c r="C563"/>
  <c r="N562"/>
  <c r="G562"/>
  <c r="F562"/>
  <c r="E562"/>
  <c r="D562"/>
  <c r="C562"/>
  <c r="N561"/>
  <c r="G561"/>
  <c r="F561"/>
  <c r="E561"/>
  <c r="D561"/>
  <c r="C561"/>
  <c r="N560"/>
  <c r="G560"/>
  <c r="F560"/>
  <c r="E560"/>
  <c r="D560"/>
  <c r="C560"/>
  <c r="N559"/>
  <c r="G559"/>
  <c r="F559"/>
  <c r="E559"/>
  <c r="D559"/>
  <c r="C559"/>
  <c r="N558"/>
  <c r="G558"/>
  <c r="F558"/>
  <c r="E558"/>
  <c r="D558"/>
  <c r="C558"/>
  <c r="N557"/>
  <c r="G557"/>
  <c r="F557"/>
  <c r="E557"/>
  <c r="D557"/>
  <c r="C557"/>
  <c r="N556"/>
  <c r="G556"/>
  <c r="F556"/>
  <c r="E556"/>
  <c r="D556"/>
  <c r="C556"/>
  <c r="N555"/>
  <c r="G555"/>
  <c r="F555"/>
  <c r="E555"/>
  <c r="D555"/>
  <c r="C555"/>
  <c r="N554"/>
  <c r="G554"/>
  <c r="F554"/>
  <c r="E554"/>
  <c r="D554"/>
  <c r="C554"/>
  <c r="N553"/>
  <c r="G553"/>
  <c r="F553"/>
  <c r="E553"/>
  <c r="D553"/>
  <c r="C553"/>
  <c r="N552"/>
  <c r="G552"/>
  <c r="F552"/>
  <c r="E552"/>
  <c r="D552"/>
  <c r="C552"/>
  <c r="N551"/>
  <c r="G551"/>
  <c r="F551"/>
  <c r="E551"/>
  <c r="D551"/>
  <c r="C551"/>
  <c r="N550"/>
  <c r="G550"/>
  <c r="F550"/>
  <c r="E550"/>
  <c r="D550"/>
  <c r="C550"/>
  <c r="N549"/>
  <c r="G549"/>
  <c r="F549"/>
  <c r="E549"/>
  <c r="D549"/>
  <c r="C549"/>
  <c r="N548"/>
  <c r="G548"/>
  <c r="F548"/>
  <c r="E548"/>
  <c r="D548"/>
  <c r="C548"/>
  <c r="N547"/>
  <c r="G547"/>
  <c r="F547"/>
  <c r="E547"/>
  <c r="D547"/>
  <c r="C547"/>
  <c r="N546"/>
  <c r="G546"/>
  <c r="F546"/>
  <c r="E546"/>
  <c r="D546"/>
  <c r="C546"/>
  <c r="N545"/>
  <c r="G545"/>
  <c r="F545"/>
  <c r="E545"/>
  <c r="D545"/>
  <c r="C545"/>
  <c r="N544"/>
  <c r="G544"/>
  <c r="F544"/>
  <c r="E544"/>
  <c r="D544"/>
  <c r="C544"/>
  <c r="N543"/>
  <c r="G543"/>
  <c r="F543"/>
  <c r="E543"/>
  <c r="D543"/>
  <c r="C543"/>
  <c r="N542"/>
  <c r="G542"/>
  <c r="F542"/>
  <c r="E542"/>
  <c r="D542"/>
  <c r="C542"/>
  <c r="N541"/>
  <c r="G541"/>
  <c r="F541"/>
  <c r="E541"/>
  <c r="D541"/>
  <c r="C541"/>
  <c r="N540"/>
  <c r="G540"/>
  <c r="F540"/>
  <c r="E540"/>
  <c r="D540"/>
  <c r="C540"/>
  <c r="N539"/>
  <c r="G539"/>
  <c r="F539"/>
  <c r="E539"/>
  <c r="D539"/>
  <c r="C539"/>
  <c r="N538"/>
  <c r="G538"/>
  <c r="F538"/>
  <c r="E538"/>
  <c r="D538"/>
  <c r="C538"/>
  <c r="N537"/>
  <c r="G537"/>
  <c r="F537"/>
  <c r="E537"/>
  <c r="D537"/>
  <c r="C537"/>
  <c r="N536"/>
  <c r="G536"/>
  <c r="F536"/>
  <c r="E536"/>
  <c r="D536"/>
  <c r="C536"/>
  <c r="N535"/>
  <c r="G535"/>
  <c r="F535"/>
  <c r="E535"/>
  <c r="D535"/>
  <c r="C535"/>
  <c r="N534"/>
  <c r="G534"/>
  <c r="F534"/>
  <c r="E534"/>
  <c r="D534"/>
  <c r="C534"/>
  <c r="N533"/>
  <c r="G533"/>
  <c r="F533"/>
  <c r="E533"/>
  <c r="D533"/>
  <c r="C533"/>
  <c r="N532"/>
  <c r="G532"/>
  <c r="F532"/>
  <c r="E532"/>
  <c r="D532"/>
  <c r="C532"/>
  <c r="N531"/>
  <c r="G531"/>
  <c r="F531"/>
  <c r="E531"/>
  <c r="D531"/>
  <c r="C531"/>
  <c r="N530"/>
  <c r="G530"/>
  <c r="F530"/>
  <c r="E530"/>
  <c r="D530"/>
  <c r="C530"/>
  <c r="N529"/>
  <c r="G529"/>
  <c r="F529"/>
  <c r="E529"/>
  <c r="D529"/>
  <c r="C529"/>
  <c r="N528"/>
  <c r="G528"/>
  <c r="F528"/>
  <c r="E528"/>
  <c r="D528"/>
  <c r="C528"/>
  <c r="N527"/>
  <c r="G527"/>
  <c r="F527"/>
  <c r="E527"/>
  <c r="D527"/>
  <c r="C527"/>
  <c r="N526"/>
  <c r="G526"/>
  <c r="F526"/>
  <c r="E526"/>
  <c r="D526"/>
  <c r="C526"/>
  <c r="N525"/>
  <c r="G525"/>
  <c r="F525"/>
  <c r="E525"/>
  <c r="D525"/>
  <c r="C525"/>
  <c r="N524"/>
  <c r="G524"/>
  <c r="F524"/>
  <c r="E524"/>
  <c r="D524"/>
  <c r="C524"/>
  <c r="N523"/>
  <c r="G523"/>
  <c r="F523"/>
  <c r="E523"/>
  <c r="D523"/>
  <c r="C523"/>
  <c r="N522"/>
  <c r="G522"/>
  <c r="F522"/>
  <c r="E522"/>
  <c r="D522"/>
  <c r="C522"/>
  <c r="N521"/>
  <c r="G521"/>
  <c r="F521"/>
  <c r="E521"/>
  <c r="D521"/>
  <c r="C521"/>
  <c r="N520"/>
  <c r="G520"/>
  <c r="F520"/>
  <c r="E520"/>
  <c r="D520"/>
  <c r="C520"/>
  <c r="N519"/>
  <c r="G519"/>
  <c r="F519"/>
  <c r="E519"/>
  <c r="D519"/>
  <c r="C519"/>
  <c r="N518"/>
  <c r="G518"/>
  <c r="F518"/>
  <c r="E518"/>
  <c r="D518"/>
  <c r="C518"/>
  <c r="N517"/>
  <c r="G517"/>
  <c r="F517"/>
  <c r="E517"/>
  <c r="D517"/>
  <c r="C517"/>
  <c r="N516"/>
  <c r="G516"/>
  <c r="F516"/>
  <c r="E516"/>
  <c r="D516"/>
  <c r="C516"/>
  <c r="N515"/>
  <c r="G515"/>
  <c r="F515"/>
  <c r="E515"/>
  <c r="D515"/>
  <c r="C515"/>
  <c r="N514"/>
  <c r="G514"/>
  <c r="F514"/>
  <c r="E514"/>
  <c r="D514"/>
  <c r="C514"/>
  <c r="N513"/>
  <c r="G513"/>
  <c r="F513"/>
  <c r="E513"/>
  <c r="D513"/>
  <c r="C513"/>
  <c r="N512"/>
  <c r="G512"/>
  <c r="F512"/>
  <c r="E512"/>
  <c r="D512"/>
  <c r="C512"/>
  <c r="N511"/>
  <c r="G511"/>
  <c r="F511"/>
  <c r="E511"/>
  <c r="D511"/>
  <c r="C511"/>
  <c r="N510"/>
  <c r="G510"/>
  <c r="F510"/>
  <c r="E510"/>
  <c r="D510"/>
  <c r="C510"/>
  <c r="N509"/>
  <c r="G509"/>
  <c r="F509"/>
  <c r="E509"/>
  <c r="D509"/>
  <c r="C509"/>
  <c r="N508"/>
  <c r="G508"/>
  <c r="F508"/>
  <c r="E508"/>
  <c r="D508"/>
  <c r="C508"/>
  <c r="N507"/>
  <c r="G507"/>
  <c r="F507"/>
  <c r="E507"/>
  <c r="D507"/>
  <c r="C507"/>
  <c r="N506"/>
  <c r="G506"/>
  <c r="F506"/>
  <c r="E506"/>
  <c r="D506"/>
  <c r="C506"/>
  <c r="N505"/>
  <c r="G505"/>
  <c r="F505"/>
  <c r="E505"/>
  <c r="D505"/>
  <c r="C505"/>
  <c r="N504"/>
  <c r="G504"/>
  <c r="F504"/>
  <c r="E504"/>
  <c r="D504"/>
  <c r="C504"/>
  <c r="N503"/>
  <c r="G503"/>
  <c r="F503"/>
  <c r="E503"/>
  <c r="D503"/>
  <c r="C503"/>
  <c r="N502"/>
  <c r="G502"/>
  <c r="F502"/>
  <c r="E502"/>
  <c r="D502"/>
  <c r="C502"/>
  <c r="N501"/>
  <c r="G501"/>
  <c r="F501"/>
  <c r="E501"/>
  <c r="D501"/>
  <c r="C501"/>
  <c r="N500"/>
  <c r="G500"/>
  <c r="F500"/>
  <c r="E500"/>
  <c r="D500"/>
  <c r="C500"/>
  <c r="N499"/>
  <c r="G499"/>
  <c r="F499"/>
  <c r="E499"/>
  <c r="D499"/>
  <c r="C499"/>
  <c r="N498"/>
  <c r="G498"/>
  <c r="F498"/>
  <c r="E498"/>
  <c r="D498"/>
  <c r="C498"/>
  <c r="N497"/>
  <c r="G497"/>
  <c r="F497"/>
  <c r="E497"/>
  <c r="D497"/>
  <c r="C497"/>
  <c r="N496"/>
  <c r="G496"/>
  <c r="F496"/>
  <c r="E496"/>
  <c r="D496"/>
  <c r="C496"/>
  <c r="N495"/>
  <c r="G495"/>
  <c r="F495"/>
  <c r="E495"/>
  <c r="D495"/>
  <c r="C495"/>
  <c r="N494"/>
  <c r="G494"/>
  <c r="F494"/>
  <c r="E494"/>
  <c r="D494"/>
  <c r="C494"/>
  <c r="N493"/>
  <c r="G493"/>
  <c r="F493"/>
  <c r="E493"/>
  <c r="D493"/>
  <c r="C493"/>
  <c r="N492"/>
  <c r="G492"/>
  <c r="F492"/>
  <c r="E492"/>
  <c r="D492"/>
  <c r="C492"/>
  <c r="N491"/>
  <c r="G491"/>
  <c r="F491"/>
  <c r="E491"/>
  <c r="D491"/>
  <c r="C491"/>
  <c r="N490"/>
  <c r="G490"/>
  <c r="F490"/>
  <c r="E490"/>
  <c r="D490"/>
  <c r="C490"/>
  <c r="N489"/>
  <c r="G489"/>
  <c r="F489"/>
  <c r="E489"/>
  <c r="D489"/>
  <c r="C489"/>
  <c r="N488"/>
  <c r="G488"/>
  <c r="F488"/>
  <c r="E488"/>
  <c r="D488"/>
  <c r="C488"/>
  <c r="N487"/>
  <c r="G487"/>
  <c r="F487"/>
  <c r="E487"/>
  <c r="D487"/>
  <c r="C487"/>
  <c r="N486"/>
  <c r="G486"/>
  <c r="F486"/>
  <c r="E486"/>
  <c r="D486"/>
  <c r="C486"/>
  <c r="N485"/>
  <c r="G485"/>
  <c r="F485"/>
  <c r="E485"/>
  <c r="D485"/>
  <c r="C485"/>
  <c r="N484"/>
  <c r="G484"/>
  <c r="F484"/>
  <c r="E484"/>
  <c r="D484"/>
  <c r="C484"/>
  <c r="N483"/>
  <c r="G483"/>
  <c r="F483"/>
  <c r="E483"/>
  <c r="D483"/>
  <c r="C483"/>
  <c r="N482"/>
  <c r="G482"/>
  <c r="F482"/>
  <c r="E482"/>
  <c r="D482"/>
  <c r="C482"/>
  <c r="N481"/>
  <c r="G481"/>
  <c r="F481"/>
  <c r="E481"/>
  <c r="D481"/>
  <c r="C481"/>
  <c r="N480"/>
  <c r="G480"/>
  <c r="F480"/>
  <c r="E480"/>
  <c r="D480"/>
  <c r="C480"/>
  <c r="N479"/>
  <c r="G479"/>
  <c r="F479"/>
  <c r="E479"/>
  <c r="D479"/>
  <c r="C479"/>
  <c r="N478"/>
  <c r="G478"/>
  <c r="F478"/>
  <c r="E478"/>
  <c r="D478"/>
  <c r="C478"/>
  <c r="N477"/>
  <c r="G477"/>
  <c r="F477"/>
  <c r="E477"/>
  <c r="D477"/>
  <c r="C477"/>
  <c r="N476"/>
  <c r="G476"/>
  <c r="F476"/>
  <c r="E476"/>
  <c r="D476"/>
  <c r="C476"/>
  <c r="N475"/>
  <c r="G475"/>
  <c r="F475"/>
  <c r="E475"/>
  <c r="D475"/>
  <c r="C475"/>
  <c r="N474"/>
  <c r="G474"/>
  <c r="F474"/>
  <c r="E474"/>
  <c r="D474"/>
  <c r="C474"/>
  <c r="N473"/>
  <c r="G473"/>
  <c r="F473"/>
  <c r="E473"/>
  <c r="D473"/>
  <c r="C473"/>
  <c r="N472"/>
  <c r="G472"/>
  <c r="F472"/>
  <c r="E472"/>
  <c r="D472"/>
  <c r="C472"/>
  <c r="N471"/>
  <c r="G471"/>
  <c r="F471"/>
  <c r="E471"/>
  <c r="D471"/>
  <c r="C471"/>
  <c r="N470"/>
  <c r="G470"/>
  <c r="F470"/>
  <c r="E470"/>
  <c r="D470"/>
  <c r="C470"/>
  <c r="N469"/>
  <c r="G469"/>
  <c r="F469"/>
  <c r="E469"/>
  <c r="D469"/>
  <c r="C469"/>
  <c r="N468"/>
  <c r="G468"/>
  <c r="F468"/>
  <c r="E468"/>
  <c r="D468"/>
  <c r="C468"/>
  <c r="N467"/>
  <c r="G467"/>
  <c r="F467"/>
  <c r="E467"/>
  <c r="D467"/>
  <c r="C467"/>
  <c r="N466"/>
  <c r="G466"/>
  <c r="F466"/>
  <c r="E466"/>
  <c r="D466"/>
  <c r="C466"/>
  <c r="N465"/>
  <c r="G465"/>
  <c r="F465"/>
  <c r="E465"/>
  <c r="D465"/>
  <c r="C465"/>
  <c r="N464"/>
  <c r="G464"/>
  <c r="F464"/>
  <c r="E464"/>
  <c r="D464"/>
  <c r="C464"/>
  <c r="N463"/>
  <c r="G463"/>
  <c r="F463"/>
  <c r="E463"/>
  <c r="D463"/>
  <c r="C463"/>
  <c r="N462"/>
  <c r="G462"/>
  <c r="F462"/>
  <c r="E462"/>
  <c r="D462"/>
  <c r="C462"/>
  <c r="N461"/>
  <c r="G461"/>
  <c r="F461"/>
  <c r="E461"/>
  <c r="D461"/>
  <c r="C461"/>
  <c r="N460"/>
  <c r="G460"/>
  <c r="F460"/>
  <c r="E460"/>
  <c r="D460"/>
  <c r="C460"/>
  <c r="N459"/>
  <c r="G459"/>
  <c r="F459"/>
  <c r="E459"/>
  <c r="D459"/>
  <c r="C459"/>
  <c r="N458"/>
  <c r="G458"/>
  <c r="F458"/>
  <c r="E458"/>
  <c r="D458"/>
  <c r="C458"/>
  <c r="N457"/>
  <c r="G457"/>
  <c r="F457"/>
  <c r="E457"/>
  <c r="D457"/>
  <c r="C457"/>
  <c r="N456"/>
  <c r="G456"/>
  <c r="F456"/>
  <c r="E456"/>
  <c r="D456"/>
  <c r="C456"/>
  <c r="N455"/>
  <c r="G455"/>
  <c r="F455"/>
  <c r="E455"/>
  <c r="D455"/>
  <c r="C455"/>
  <c r="N454"/>
  <c r="G454"/>
  <c r="F454"/>
  <c r="E454"/>
  <c r="D454"/>
  <c r="C454"/>
  <c r="N453"/>
  <c r="G453"/>
  <c r="F453"/>
  <c r="E453"/>
  <c r="D453"/>
  <c r="C453"/>
  <c r="N452"/>
  <c r="G452"/>
  <c r="F452"/>
  <c r="E452"/>
  <c r="D452"/>
  <c r="C452"/>
  <c r="N451"/>
  <c r="G451"/>
  <c r="F451"/>
  <c r="E451"/>
  <c r="D451"/>
  <c r="C451"/>
  <c r="N450"/>
  <c r="G450"/>
  <c r="F450"/>
  <c r="E450"/>
  <c r="D450"/>
  <c r="C450"/>
  <c r="N449"/>
  <c r="G449"/>
  <c r="F449"/>
  <c r="E449"/>
  <c r="D449"/>
  <c r="C449"/>
  <c r="N448"/>
  <c r="G448"/>
  <c r="F448"/>
  <c r="E448"/>
  <c r="D448"/>
  <c r="C448"/>
  <c r="N447"/>
  <c r="G447"/>
  <c r="F447"/>
  <c r="E447"/>
  <c r="D447"/>
  <c r="C447"/>
  <c r="N446"/>
  <c r="G446"/>
  <c r="F446"/>
  <c r="E446"/>
  <c r="D446"/>
  <c r="C446"/>
  <c r="N445"/>
  <c r="G445"/>
  <c r="F445"/>
  <c r="E445"/>
  <c r="D445"/>
  <c r="C445"/>
  <c r="N444"/>
  <c r="G444"/>
  <c r="F444"/>
  <c r="E444"/>
  <c r="D444"/>
  <c r="C444"/>
  <c r="N443"/>
  <c r="G443"/>
  <c r="F443"/>
  <c r="E443"/>
  <c r="D443"/>
  <c r="C443"/>
  <c r="N442"/>
  <c r="G442"/>
  <c r="F442"/>
  <c r="E442"/>
  <c r="D442"/>
  <c r="C442"/>
  <c r="N441"/>
  <c r="G441"/>
  <c r="F441"/>
  <c r="E441"/>
  <c r="D441"/>
  <c r="C441"/>
  <c r="N440"/>
  <c r="G440"/>
  <c r="F440"/>
  <c r="E440"/>
  <c r="D440"/>
  <c r="C440"/>
  <c r="N439"/>
  <c r="G439"/>
  <c r="F439"/>
  <c r="E439"/>
  <c r="D439"/>
  <c r="C439"/>
  <c r="N438"/>
  <c r="G438"/>
  <c r="F438"/>
  <c r="E438"/>
  <c r="D438"/>
  <c r="C438"/>
  <c r="N437"/>
  <c r="G437"/>
  <c r="F437"/>
  <c r="E437"/>
  <c r="D437"/>
  <c r="C437"/>
  <c r="N436"/>
  <c r="G436"/>
  <c r="F436"/>
  <c r="E436"/>
  <c r="D436"/>
  <c r="C436"/>
  <c r="N435"/>
  <c r="G435"/>
  <c r="F435"/>
  <c r="E435"/>
  <c r="D435"/>
  <c r="C435"/>
  <c r="N434"/>
  <c r="G434"/>
  <c r="F434"/>
  <c r="E434"/>
  <c r="D434"/>
  <c r="C434"/>
  <c r="N433"/>
  <c r="G433"/>
  <c r="F433"/>
  <c r="E433"/>
  <c r="D433"/>
  <c r="C433"/>
  <c r="N432"/>
  <c r="G432"/>
  <c r="F432"/>
  <c r="E432"/>
  <c r="D432"/>
  <c r="C432"/>
  <c r="N431"/>
  <c r="G431"/>
  <c r="F431"/>
  <c r="E431"/>
  <c r="D431"/>
  <c r="C431"/>
  <c r="N430"/>
  <c r="G430"/>
  <c r="F430"/>
  <c r="E430"/>
  <c r="D430"/>
  <c r="C430"/>
  <c r="N429"/>
  <c r="G429"/>
  <c r="F429"/>
  <c r="E429"/>
  <c r="D429"/>
  <c r="C429"/>
  <c r="N428"/>
  <c r="G428"/>
  <c r="F428"/>
  <c r="E428"/>
  <c r="D428"/>
  <c r="C428"/>
  <c r="N427"/>
  <c r="G427"/>
  <c r="F427"/>
  <c r="E427"/>
  <c r="D427"/>
  <c r="C427"/>
  <c r="N426"/>
  <c r="G426"/>
  <c r="F426"/>
  <c r="E426"/>
  <c r="D426"/>
  <c r="C426"/>
  <c r="N425"/>
  <c r="G425"/>
  <c r="F425"/>
  <c r="E425"/>
  <c r="D425"/>
  <c r="C425"/>
  <c r="N424"/>
  <c r="G424"/>
  <c r="F424"/>
  <c r="E424"/>
  <c r="D424"/>
  <c r="C424"/>
  <c r="N423"/>
  <c r="G423"/>
  <c r="F423"/>
  <c r="E423"/>
  <c r="D423"/>
  <c r="C423"/>
  <c r="N422"/>
  <c r="G422"/>
  <c r="F422"/>
  <c r="E422"/>
  <c r="D422"/>
  <c r="C422"/>
  <c r="N421"/>
  <c r="G421"/>
  <c r="F421"/>
  <c r="E421"/>
  <c r="D421"/>
  <c r="C421"/>
  <c r="N420"/>
  <c r="G420"/>
  <c r="F420"/>
  <c r="E420"/>
  <c r="D420"/>
  <c r="C420"/>
  <c r="N419"/>
  <c r="G419"/>
  <c r="F419"/>
  <c r="E419"/>
  <c r="D419"/>
  <c r="C419"/>
  <c r="N418"/>
  <c r="G418"/>
  <c r="F418"/>
  <c r="E418"/>
  <c r="D418"/>
  <c r="C418"/>
  <c r="N417"/>
  <c r="G417"/>
  <c r="F417"/>
  <c r="E417"/>
  <c r="D417"/>
  <c r="C417"/>
  <c r="N416"/>
  <c r="G416"/>
  <c r="F416"/>
  <c r="E416"/>
  <c r="D416"/>
  <c r="C416"/>
  <c r="N415"/>
  <c r="G415"/>
  <c r="F415"/>
  <c r="E415"/>
  <c r="D415"/>
  <c r="C415"/>
  <c r="N414"/>
  <c r="G414"/>
  <c r="F414"/>
  <c r="E414"/>
  <c r="D414"/>
  <c r="C414"/>
  <c r="N413"/>
  <c r="G413"/>
  <c r="F413"/>
  <c r="E413"/>
  <c r="D413"/>
  <c r="C413"/>
  <c r="N412"/>
  <c r="G412"/>
  <c r="F412"/>
  <c r="E412"/>
  <c r="D412"/>
  <c r="C412"/>
  <c r="N411"/>
  <c r="G411"/>
  <c r="F411"/>
  <c r="E411"/>
  <c r="D411"/>
  <c r="C411"/>
  <c r="N410"/>
  <c r="G410"/>
  <c r="F410"/>
  <c r="E410"/>
  <c r="D410"/>
  <c r="C410"/>
  <c r="N409"/>
  <c r="G409"/>
  <c r="F409"/>
  <c r="E409"/>
  <c r="D409"/>
  <c r="C409"/>
  <c r="N408"/>
  <c r="G408"/>
  <c r="F408"/>
  <c r="E408"/>
  <c r="D408"/>
  <c r="C408"/>
  <c r="N407"/>
  <c r="G407"/>
  <c r="F407"/>
  <c r="E407"/>
  <c r="D407"/>
  <c r="C407"/>
  <c r="N406"/>
  <c r="G406"/>
  <c r="F406"/>
  <c r="E406"/>
  <c r="D406"/>
  <c r="C406"/>
  <c r="N405"/>
  <c r="G405"/>
  <c r="F405"/>
  <c r="E405"/>
  <c r="D405"/>
  <c r="C405"/>
  <c r="N404"/>
  <c r="G404"/>
  <c r="F404"/>
  <c r="E404"/>
  <c r="D404"/>
  <c r="C404"/>
  <c r="N403"/>
  <c r="G403"/>
  <c r="F403"/>
  <c r="E403"/>
  <c r="D403"/>
  <c r="C403"/>
  <c r="N402"/>
  <c r="G402"/>
  <c r="F402"/>
  <c r="E402"/>
  <c r="D402"/>
  <c r="C402"/>
  <c r="N401"/>
  <c r="G401"/>
  <c r="F401"/>
  <c r="E401"/>
  <c r="D401"/>
  <c r="C401"/>
  <c r="N400"/>
  <c r="G400"/>
  <c r="F400"/>
  <c r="E400"/>
  <c r="D400"/>
  <c r="C400"/>
  <c r="N399"/>
  <c r="G399"/>
  <c r="F399"/>
  <c r="E399"/>
  <c r="D399"/>
  <c r="C399"/>
  <c r="N398"/>
  <c r="G398"/>
  <c r="F398"/>
  <c r="E398"/>
  <c r="D398"/>
  <c r="C398"/>
  <c r="N397"/>
  <c r="G397"/>
  <c r="F397"/>
  <c r="E397"/>
  <c r="D397"/>
  <c r="C397"/>
  <c r="N396"/>
  <c r="G396"/>
  <c r="F396"/>
  <c r="E396"/>
  <c r="D396"/>
  <c r="C396"/>
  <c r="N395"/>
  <c r="G395"/>
  <c r="F395"/>
  <c r="E395"/>
  <c r="D395"/>
  <c r="C395"/>
  <c r="N394"/>
  <c r="G394"/>
  <c r="F394"/>
  <c r="E394"/>
  <c r="D394"/>
  <c r="C394"/>
  <c r="N393"/>
  <c r="G393"/>
  <c r="F393"/>
  <c r="E393"/>
  <c r="D393"/>
  <c r="C393"/>
  <c r="N392"/>
  <c r="G392"/>
  <c r="F392"/>
  <c r="E392"/>
  <c r="D392"/>
  <c r="C392"/>
  <c r="N391"/>
  <c r="G391"/>
  <c r="F391"/>
  <c r="E391"/>
  <c r="D391"/>
  <c r="C391"/>
  <c r="N390"/>
  <c r="G390"/>
  <c r="F390"/>
  <c r="E390"/>
  <c r="D390"/>
  <c r="C390"/>
  <c r="N389"/>
  <c r="G389"/>
  <c r="F389"/>
  <c r="E389"/>
  <c r="D389"/>
  <c r="C389"/>
  <c r="N388"/>
  <c r="G388"/>
  <c r="F388"/>
  <c r="E388"/>
  <c r="D388"/>
  <c r="C388"/>
  <c r="N387"/>
  <c r="G387"/>
  <c r="F387"/>
  <c r="E387"/>
  <c r="D387"/>
  <c r="C387"/>
  <c r="N386"/>
  <c r="G386"/>
  <c r="F386"/>
  <c r="E386"/>
  <c r="D386"/>
  <c r="C386"/>
  <c r="N385"/>
  <c r="G385"/>
  <c r="F385"/>
  <c r="E385"/>
  <c r="D385"/>
  <c r="C385"/>
  <c r="N384"/>
  <c r="G384"/>
  <c r="F384"/>
  <c r="E384"/>
  <c r="D384"/>
  <c r="C384"/>
  <c r="N383"/>
  <c r="G383"/>
  <c r="F383"/>
  <c r="E383"/>
  <c r="D383"/>
  <c r="C383"/>
  <c r="N382"/>
  <c r="G382"/>
  <c r="F382"/>
  <c r="E382"/>
  <c r="D382"/>
  <c r="C382"/>
  <c r="N381"/>
  <c r="G381"/>
  <c r="F381"/>
  <c r="E381"/>
  <c r="D381"/>
  <c r="C381"/>
  <c r="N380"/>
  <c r="G380"/>
  <c r="F380"/>
  <c r="E380"/>
  <c r="D380"/>
  <c r="C380"/>
  <c r="N379"/>
  <c r="G379"/>
  <c r="F379"/>
  <c r="E379"/>
  <c r="D379"/>
  <c r="C379"/>
  <c r="N378"/>
  <c r="G378"/>
  <c r="F378"/>
  <c r="E378"/>
  <c r="D378"/>
  <c r="C378"/>
  <c r="N377"/>
  <c r="G377"/>
  <c r="F377"/>
  <c r="E377"/>
  <c r="D377"/>
  <c r="C377"/>
  <c r="N376"/>
  <c r="G376"/>
  <c r="F376"/>
  <c r="E376"/>
  <c r="D376"/>
  <c r="C376"/>
  <c r="N375"/>
  <c r="G375"/>
  <c r="F375"/>
  <c r="E375"/>
  <c r="D375"/>
  <c r="C375"/>
  <c r="N374"/>
  <c r="G374"/>
  <c r="F374"/>
  <c r="E374"/>
  <c r="D374"/>
  <c r="C374"/>
  <c r="N373"/>
  <c r="G373"/>
  <c r="F373"/>
  <c r="E373"/>
  <c r="D373"/>
  <c r="C373"/>
  <c r="N372"/>
  <c r="G372"/>
  <c r="F372"/>
  <c r="E372"/>
  <c r="D372"/>
  <c r="C372"/>
  <c r="N371"/>
  <c r="G371"/>
  <c r="F371"/>
  <c r="E371"/>
  <c r="D371"/>
  <c r="C371"/>
  <c r="N370"/>
  <c r="G370"/>
  <c r="F370"/>
  <c r="E370"/>
  <c r="D370"/>
  <c r="C370"/>
  <c r="N369"/>
  <c r="G369"/>
  <c r="F369"/>
  <c r="E369"/>
  <c r="D369"/>
  <c r="C369"/>
  <c r="N368"/>
  <c r="G368"/>
  <c r="F368"/>
  <c r="E368"/>
  <c r="D368"/>
  <c r="C368"/>
  <c r="N367"/>
  <c r="G367"/>
  <c r="F367"/>
  <c r="E367"/>
  <c r="D367"/>
  <c r="C367"/>
  <c r="N366"/>
  <c r="G366"/>
  <c r="F366"/>
  <c r="E366"/>
  <c r="D366"/>
  <c r="C366"/>
  <c r="N365"/>
  <c r="G365"/>
  <c r="F365"/>
  <c r="E365"/>
  <c r="D365"/>
  <c r="C365"/>
  <c r="N364"/>
  <c r="G364"/>
  <c r="F364"/>
  <c r="E364"/>
  <c r="D364"/>
  <c r="C364"/>
  <c r="N363"/>
  <c r="G363"/>
  <c r="F363"/>
  <c r="E363"/>
  <c r="D363"/>
  <c r="C363"/>
  <c r="N362"/>
  <c r="G362"/>
  <c r="F362"/>
  <c r="E362"/>
  <c r="D362"/>
  <c r="C362"/>
  <c r="N361"/>
  <c r="G361"/>
  <c r="F361"/>
  <c r="E361"/>
  <c r="D361"/>
  <c r="C361"/>
  <c r="N360"/>
  <c r="G360"/>
  <c r="F360"/>
  <c r="E360"/>
  <c r="D360"/>
  <c r="C360"/>
  <c r="N359"/>
  <c r="G359"/>
  <c r="F359"/>
  <c r="E359"/>
  <c r="D359"/>
  <c r="C359"/>
  <c r="N358"/>
  <c r="G358"/>
  <c r="F358"/>
  <c r="E358"/>
  <c r="D358"/>
  <c r="C358"/>
  <c r="N357"/>
  <c r="G357"/>
  <c r="F357"/>
  <c r="E357"/>
  <c r="D357"/>
  <c r="C357"/>
  <c r="N356"/>
  <c r="G356"/>
  <c r="F356"/>
  <c r="E356"/>
  <c r="D356"/>
  <c r="C356"/>
  <c r="N355"/>
  <c r="G355"/>
  <c r="F355"/>
  <c r="E355"/>
  <c r="D355"/>
  <c r="C355"/>
  <c r="N354"/>
  <c r="G354"/>
  <c r="F354"/>
  <c r="E354"/>
  <c r="D354"/>
  <c r="C354"/>
  <c r="N353"/>
  <c r="G353"/>
  <c r="F353"/>
  <c r="E353"/>
  <c r="D353"/>
  <c r="C353"/>
  <c r="N352"/>
  <c r="G352"/>
  <c r="F352"/>
  <c r="E352"/>
  <c r="D352"/>
  <c r="C352"/>
  <c r="N351"/>
  <c r="G351"/>
  <c r="F351"/>
  <c r="E351"/>
  <c r="D351"/>
  <c r="C351"/>
  <c r="N350"/>
  <c r="G350"/>
  <c r="F350"/>
  <c r="E350"/>
  <c r="D350"/>
  <c r="C350"/>
  <c r="N349"/>
  <c r="G349"/>
  <c r="F349"/>
  <c r="E349"/>
  <c r="D349"/>
  <c r="C349"/>
  <c r="N348"/>
  <c r="G348"/>
  <c r="F348"/>
  <c r="E348"/>
  <c r="D348"/>
  <c r="C348"/>
  <c r="N347"/>
  <c r="G347"/>
  <c r="F347"/>
  <c r="E347"/>
  <c r="D347"/>
  <c r="C347"/>
  <c r="N346"/>
  <c r="G346"/>
  <c r="F346"/>
  <c r="E346"/>
  <c r="D346"/>
  <c r="C346"/>
  <c r="N345"/>
  <c r="G345"/>
  <c r="F345"/>
  <c r="E345"/>
  <c r="D345"/>
  <c r="C345"/>
  <c r="N344"/>
  <c r="G344"/>
  <c r="F344"/>
  <c r="E344"/>
  <c r="D344"/>
  <c r="C344"/>
  <c r="N343"/>
  <c r="G343"/>
  <c r="F343"/>
  <c r="E343"/>
  <c r="D343"/>
  <c r="C343"/>
  <c r="N342"/>
  <c r="G342"/>
  <c r="F342"/>
  <c r="E342"/>
  <c r="D342"/>
  <c r="C342"/>
  <c r="N341"/>
  <c r="G341"/>
  <c r="F341"/>
  <c r="E341"/>
  <c r="D341"/>
  <c r="C341"/>
  <c r="N340"/>
  <c r="G340"/>
  <c r="F340"/>
  <c r="E340"/>
  <c r="D340"/>
  <c r="C340"/>
  <c r="N339"/>
  <c r="G339"/>
  <c r="F339"/>
  <c r="E339"/>
  <c r="D339"/>
  <c r="C339"/>
  <c r="N338"/>
  <c r="G338"/>
  <c r="F338"/>
  <c r="E338"/>
  <c r="D338"/>
  <c r="C338"/>
  <c r="N337"/>
  <c r="G337"/>
  <c r="F337"/>
  <c r="E337"/>
  <c r="D337"/>
  <c r="C337"/>
  <c r="N336"/>
  <c r="G336"/>
  <c r="F336"/>
  <c r="E336"/>
  <c r="D336"/>
  <c r="C336"/>
  <c r="N335"/>
  <c r="G335"/>
  <c r="F335"/>
  <c r="E335"/>
  <c r="D335"/>
  <c r="C335"/>
  <c r="N334"/>
  <c r="G334"/>
  <c r="F334"/>
  <c r="E334"/>
  <c r="D334"/>
  <c r="C334"/>
  <c r="N333"/>
  <c r="G333"/>
  <c r="F333"/>
  <c r="E333"/>
  <c r="D333"/>
  <c r="C333"/>
  <c r="N332"/>
  <c r="G332"/>
  <c r="F332"/>
  <c r="E332"/>
  <c r="D332"/>
  <c r="C332"/>
  <c r="N331"/>
  <c r="G331"/>
  <c r="F331"/>
  <c r="E331"/>
  <c r="D331"/>
  <c r="C331"/>
  <c r="N330"/>
  <c r="G330"/>
  <c r="F330"/>
  <c r="E330"/>
  <c r="D330"/>
  <c r="C330"/>
  <c r="N329"/>
  <c r="G329"/>
  <c r="F329"/>
  <c r="E329"/>
  <c r="D329"/>
  <c r="C329"/>
  <c r="N328"/>
  <c r="G328"/>
  <c r="F328"/>
  <c r="E328"/>
  <c r="D328"/>
  <c r="C328"/>
  <c r="N327"/>
  <c r="G327"/>
  <c r="F327"/>
  <c r="E327"/>
  <c r="D327"/>
  <c r="C327"/>
  <c r="N326"/>
  <c r="G326"/>
  <c r="F326"/>
  <c r="E326"/>
  <c r="D326"/>
  <c r="C326"/>
  <c r="N325"/>
  <c r="G325"/>
  <c r="F325"/>
  <c r="E325"/>
  <c r="D325"/>
  <c r="C325"/>
  <c r="N324"/>
  <c r="G324"/>
  <c r="F324"/>
  <c r="E324"/>
  <c r="D324"/>
  <c r="C324"/>
  <c r="N323"/>
  <c r="G323"/>
  <c r="F323"/>
  <c r="E323"/>
  <c r="D323"/>
  <c r="C323"/>
  <c r="N322"/>
  <c r="G322"/>
  <c r="F322"/>
  <c r="E322"/>
  <c r="D322"/>
  <c r="C322"/>
  <c r="N321"/>
  <c r="G321"/>
  <c r="F321"/>
  <c r="E321"/>
  <c r="D321"/>
  <c r="C321"/>
  <c r="N320"/>
  <c r="G320"/>
  <c r="F320"/>
  <c r="E320"/>
  <c r="D320"/>
  <c r="C320"/>
  <c r="N319"/>
  <c r="G319"/>
  <c r="F319"/>
  <c r="E319"/>
  <c r="D319"/>
  <c r="C319"/>
  <c r="N318"/>
  <c r="G318"/>
  <c r="F318"/>
  <c r="E318"/>
  <c r="D318"/>
  <c r="C318"/>
  <c r="N317"/>
  <c r="G317"/>
  <c r="F317"/>
  <c r="E317"/>
  <c r="D317"/>
  <c r="C317"/>
  <c r="N316"/>
  <c r="G316"/>
  <c r="F316"/>
  <c r="E316"/>
  <c r="D316"/>
  <c r="C316"/>
  <c r="N315"/>
  <c r="G315"/>
  <c r="F315"/>
  <c r="E315"/>
  <c r="D315"/>
  <c r="C315"/>
  <c r="N314"/>
  <c r="G314"/>
  <c r="F314"/>
  <c r="E314"/>
  <c r="D314"/>
  <c r="C314"/>
  <c r="N313"/>
  <c r="G313"/>
  <c r="F313"/>
  <c r="E313"/>
  <c r="D313"/>
  <c r="C313"/>
  <c r="N312"/>
  <c r="G312"/>
  <c r="F312"/>
  <c r="E312"/>
  <c r="D312"/>
  <c r="C312"/>
  <c r="N311"/>
  <c r="G311"/>
  <c r="F311"/>
  <c r="E311"/>
  <c r="D311"/>
  <c r="C311"/>
  <c r="N310"/>
  <c r="G310"/>
  <c r="F310"/>
  <c r="E310"/>
  <c r="D310"/>
  <c r="C310"/>
  <c r="N309"/>
  <c r="G309"/>
  <c r="F309"/>
  <c r="E309"/>
  <c r="D309"/>
  <c r="C309"/>
  <c r="N308"/>
  <c r="G308"/>
  <c r="F308"/>
  <c r="E308"/>
  <c r="D308"/>
  <c r="C308"/>
  <c r="N307"/>
  <c r="G307"/>
  <c r="F307"/>
  <c r="E307"/>
  <c r="D307"/>
  <c r="C307"/>
  <c r="N306"/>
  <c r="G306"/>
  <c r="F306"/>
  <c r="E306"/>
  <c r="D306"/>
  <c r="C306"/>
  <c r="N305"/>
  <c r="G305"/>
  <c r="F305"/>
  <c r="E305"/>
  <c r="D305"/>
  <c r="C305"/>
  <c r="N304"/>
  <c r="G304"/>
  <c r="F304"/>
  <c r="E304"/>
  <c r="D304"/>
  <c r="C304"/>
  <c r="N303"/>
  <c r="G303"/>
  <c r="F303"/>
  <c r="E303"/>
  <c r="D303"/>
  <c r="C303"/>
  <c r="N302"/>
  <c r="G302"/>
  <c r="F302"/>
  <c r="E302"/>
  <c r="D302"/>
  <c r="C302"/>
  <c r="N301"/>
  <c r="G301"/>
  <c r="F301"/>
  <c r="E301"/>
  <c r="D301"/>
  <c r="C301"/>
  <c r="N300"/>
  <c r="G300"/>
  <c r="F300"/>
  <c r="E300"/>
  <c r="D300"/>
  <c r="C300"/>
  <c r="N299"/>
  <c r="G299"/>
  <c r="F299"/>
  <c r="E299"/>
  <c r="D299"/>
  <c r="C299"/>
  <c r="N298"/>
  <c r="G298"/>
  <c r="F298"/>
  <c r="E298"/>
  <c r="D298"/>
  <c r="C298"/>
  <c r="N297"/>
  <c r="G297"/>
  <c r="F297"/>
  <c r="E297"/>
  <c r="D297"/>
  <c r="C297"/>
  <c r="N296"/>
  <c r="G296"/>
  <c r="F296"/>
  <c r="E296"/>
  <c r="D296"/>
  <c r="C296"/>
  <c r="N295"/>
  <c r="G295"/>
  <c r="F295"/>
  <c r="E295"/>
  <c r="D295"/>
  <c r="C295"/>
  <c r="N294"/>
  <c r="G294"/>
  <c r="F294"/>
  <c r="E294"/>
  <c r="D294"/>
  <c r="C294"/>
  <c r="N293"/>
  <c r="G293"/>
  <c r="F293"/>
  <c r="E293"/>
  <c r="D293"/>
  <c r="C293"/>
  <c r="N292"/>
  <c r="G292"/>
  <c r="F292"/>
  <c r="E292"/>
  <c r="D292"/>
  <c r="C292"/>
  <c r="N291"/>
  <c r="G291"/>
  <c r="F291"/>
  <c r="E291"/>
  <c r="D291"/>
  <c r="C291"/>
  <c r="N290"/>
  <c r="G290"/>
  <c r="F290"/>
  <c r="E290"/>
  <c r="D290"/>
  <c r="C290"/>
  <c r="N289"/>
  <c r="G289"/>
  <c r="F289"/>
  <c r="E289"/>
  <c r="D289"/>
  <c r="C289"/>
  <c r="N288"/>
  <c r="G288"/>
  <c r="F288"/>
  <c r="E288"/>
  <c r="D288"/>
  <c r="C288"/>
  <c r="N287"/>
  <c r="G287"/>
  <c r="F287"/>
  <c r="E287"/>
  <c r="D287"/>
  <c r="C287"/>
  <c r="N286"/>
  <c r="G286"/>
  <c r="F286"/>
  <c r="E286"/>
  <c r="D286"/>
  <c r="C286"/>
  <c r="N285"/>
  <c r="G285"/>
  <c r="F285"/>
  <c r="E285"/>
  <c r="D285"/>
  <c r="C285"/>
  <c r="N284"/>
  <c r="G284"/>
  <c r="F284"/>
  <c r="E284"/>
  <c r="D284"/>
  <c r="C284"/>
  <c r="N283"/>
  <c r="G283"/>
  <c r="F283"/>
  <c r="E283"/>
  <c r="D283"/>
  <c r="C283"/>
  <c r="N282"/>
  <c r="G282"/>
  <c r="F282"/>
  <c r="E282"/>
  <c r="D282"/>
  <c r="C282"/>
  <c r="N281"/>
  <c r="G281"/>
  <c r="F281"/>
  <c r="E281"/>
  <c r="D281"/>
  <c r="C281"/>
  <c r="N280"/>
  <c r="G280"/>
  <c r="F280"/>
  <c r="E280"/>
  <c r="D280"/>
  <c r="C280"/>
  <c r="N279"/>
  <c r="G279"/>
  <c r="F279"/>
  <c r="E279"/>
  <c r="D279"/>
  <c r="C279"/>
  <c r="N278"/>
  <c r="G278"/>
  <c r="F278"/>
  <c r="E278"/>
  <c r="D278"/>
  <c r="C278"/>
  <c r="N277"/>
  <c r="G277"/>
  <c r="F277"/>
  <c r="E277"/>
  <c r="D277"/>
  <c r="C277"/>
  <c r="N276"/>
  <c r="G276"/>
  <c r="F276"/>
  <c r="E276"/>
  <c r="D276"/>
  <c r="C276"/>
  <c r="N275"/>
  <c r="G275"/>
  <c r="F275"/>
  <c r="E275"/>
  <c r="D275"/>
  <c r="C275"/>
  <c r="N274"/>
  <c r="G274"/>
  <c r="F274"/>
  <c r="E274"/>
  <c r="D274"/>
  <c r="C274"/>
  <c r="N273"/>
  <c r="G273"/>
  <c r="F273"/>
  <c r="E273"/>
  <c r="D273"/>
  <c r="C273"/>
  <c r="N272"/>
  <c r="G272"/>
  <c r="F272"/>
  <c r="E272"/>
  <c r="D272"/>
  <c r="C272"/>
  <c r="N271"/>
  <c r="G271"/>
  <c r="F271"/>
  <c r="E271"/>
  <c r="D271"/>
  <c r="C271"/>
  <c r="N270"/>
  <c r="G270"/>
  <c r="F270"/>
  <c r="E270"/>
  <c r="D270"/>
  <c r="C270"/>
  <c r="N269"/>
  <c r="G269"/>
  <c r="F269"/>
  <c r="E269"/>
  <c r="D269"/>
  <c r="C269"/>
  <c r="N268"/>
  <c r="G268"/>
  <c r="F268"/>
  <c r="E268"/>
  <c r="D268"/>
  <c r="C268"/>
  <c r="N267"/>
  <c r="G267"/>
  <c r="F267"/>
  <c r="E267"/>
  <c r="D267"/>
  <c r="C267"/>
  <c r="N266"/>
  <c r="G266"/>
  <c r="F266"/>
  <c r="E266"/>
  <c r="D266"/>
  <c r="C266"/>
  <c r="N265"/>
  <c r="G265"/>
  <c r="F265"/>
  <c r="E265"/>
  <c r="D265"/>
  <c r="C265"/>
  <c r="N264"/>
  <c r="G264"/>
  <c r="F264"/>
  <c r="E264"/>
  <c r="D264"/>
  <c r="C264"/>
  <c r="N263"/>
  <c r="G263"/>
  <c r="F263"/>
  <c r="E263"/>
  <c r="D263"/>
  <c r="C263"/>
  <c r="N262"/>
  <c r="G262"/>
  <c r="F262"/>
  <c r="E262"/>
  <c r="D262"/>
  <c r="C262"/>
  <c r="N261"/>
  <c r="G261"/>
  <c r="F261"/>
  <c r="E261"/>
  <c r="D261"/>
  <c r="C261"/>
  <c r="N260"/>
  <c r="G260"/>
  <c r="F260"/>
  <c r="E260"/>
  <c r="D260"/>
  <c r="C260"/>
  <c r="N259"/>
  <c r="G259"/>
  <c r="F259"/>
  <c r="E259"/>
  <c r="D259"/>
  <c r="C259"/>
  <c r="N258"/>
  <c r="G258"/>
  <c r="F258"/>
  <c r="E258"/>
  <c r="D258"/>
  <c r="C258"/>
  <c r="N257"/>
  <c r="G257"/>
  <c r="F257"/>
  <c r="E257"/>
  <c r="D257"/>
  <c r="C257"/>
  <c r="N256"/>
  <c r="G256"/>
  <c r="F256"/>
  <c r="E256"/>
  <c r="D256"/>
  <c r="C256"/>
  <c r="N255"/>
  <c r="G255"/>
  <c r="F255"/>
  <c r="E255"/>
  <c r="D255"/>
  <c r="C255"/>
  <c r="N254"/>
  <c r="G254"/>
  <c r="F254"/>
  <c r="E254"/>
  <c r="D254"/>
  <c r="C254"/>
  <c r="N253"/>
  <c r="G253"/>
  <c r="F253"/>
  <c r="E253"/>
  <c r="D253"/>
  <c r="C253"/>
  <c r="N252"/>
  <c r="G252"/>
  <c r="F252"/>
  <c r="E252"/>
  <c r="D252"/>
  <c r="C252"/>
  <c r="N251"/>
  <c r="G251"/>
  <c r="F251"/>
  <c r="E251"/>
  <c r="D251"/>
  <c r="C251"/>
  <c r="N250"/>
  <c r="G250"/>
  <c r="F250"/>
  <c r="E250"/>
  <c r="D250"/>
  <c r="C250"/>
  <c r="N249"/>
  <c r="G249"/>
  <c r="F249"/>
  <c r="E249"/>
  <c r="D249"/>
  <c r="C249"/>
  <c r="N248"/>
  <c r="G248"/>
  <c r="F248"/>
  <c r="E248"/>
  <c r="D248"/>
  <c r="C248"/>
  <c r="N247"/>
  <c r="G247"/>
  <c r="F247"/>
  <c r="E247"/>
  <c r="D247"/>
  <c r="C247"/>
  <c r="N246"/>
  <c r="G246"/>
  <c r="F246"/>
  <c r="E246"/>
  <c r="D246"/>
  <c r="C246"/>
  <c r="N245"/>
  <c r="G245"/>
  <c r="F245"/>
  <c r="E245"/>
  <c r="D245"/>
  <c r="C245"/>
  <c r="N244"/>
  <c r="G244"/>
  <c r="F244"/>
  <c r="E244"/>
  <c r="D244"/>
  <c r="C244"/>
  <c r="N243"/>
  <c r="G243"/>
  <c r="F243"/>
  <c r="E243"/>
  <c r="D243"/>
  <c r="C243"/>
  <c r="N242"/>
  <c r="G242"/>
  <c r="F242"/>
  <c r="E242"/>
  <c r="D242"/>
  <c r="C242"/>
  <c r="N241"/>
  <c r="G241"/>
  <c r="F241"/>
  <c r="E241"/>
  <c r="D241"/>
  <c r="C241"/>
  <c r="N240"/>
  <c r="G240"/>
  <c r="F240"/>
  <c r="E240"/>
  <c r="D240"/>
  <c r="C240"/>
  <c r="N239"/>
  <c r="G239"/>
  <c r="F239"/>
  <c r="E239"/>
  <c r="D239"/>
  <c r="C239"/>
  <c r="N238"/>
  <c r="G238"/>
  <c r="F238"/>
  <c r="E238"/>
  <c r="D238"/>
  <c r="C238"/>
  <c r="N237"/>
  <c r="G237"/>
  <c r="F237"/>
  <c r="E237"/>
  <c r="D237"/>
  <c r="C237"/>
  <c r="N236"/>
  <c r="G236"/>
  <c r="F236"/>
  <c r="E236"/>
  <c r="D236"/>
  <c r="C236"/>
  <c r="N235"/>
  <c r="G235"/>
  <c r="F235"/>
  <c r="E235"/>
  <c r="D235"/>
  <c r="C235"/>
  <c r="N234"/>
  <c r="G234"/>
  <c r="F234"/>
  <c r="E234"/>
  <c r="D234"/>
  <c r="C234"/>
  <c r="N233"/>
  <c r="G233"/>
  <c r="F233"/>
  <c r="E233"/>
  <c r="D233"/>
  <c r="C233"/>
  <c r="N232"/>
  <c r="G232"/>
  <c r="F232"/>
  <c r="E232"/>
  <c r="D232"/>
  <c r="C232"/>
  <c r="N231"/>
  <c r="G231"/>
  <c r="F231"/>
  <c r="E231"/>
  <c r="D231"/>
  <c r="C231"/>
  <c r="N230"/>
  <c r="G230"/>
  <c r="F230"/>
  <c r="E230"/>
  <c r="D230"/>
  <c r="C230"/>
  <c r="N229"/>
  <c r="G229"/>
  <c r="F229"/>
  <c r="E229"/>
  <c r="D229"/>
  <c r="C229"/>
  <c r="N228"/>
  <c r="G228"/>
  <c r="F228"/>
  <c r="E228"/>
  <c r="D228"/>
  <c r="C228"/>
  <c r="N227"/>
  <c r="G227"/>
  <c r="F227"/>
  <c r="E227"/>
  <c r="D227"/>
  <c r="C227"/>
  <c r="N226"/>
  <c r="G226"/>
  <c r="F226"/>
  <c r="E226"/>
  <c r="D226"/>
  <c r="C226"/>
  <c r="N225"/>
  <c r="G225"/>
  <c r="F225"/>
  <c r="E225"/>
  <c r="D225"/>
  <c r="C225"/>
  <c r="N224"/>
  <c r="G224"/>
  <c r="F224"/>
  <c r="E224"/>
  <c r="D224"/>
  <c r="C224"/>
  <c r="N223"/>
  <c r="G223"/>
  <c r="F223"/>
  <c r="E223"/>
  <c r="D223"/>
  <c r="C223"/>
  <c r="N222"/>
  <c r="G222"/>
  <c r="F222"/>
  <c r="E222"/>
  <c r="D222"/>
  <c r="C222"/>
  <c r="N221"/>
  <c r="G221"/>
  <c r="F221"/>
  <c r="E221"/>
  <c r="D221"/>
  <c r="C221"/>
  <c r="N220"/>
  <c r="G220"/>
  <c r="F220"/>
  <c r="E220"/>
  <c r="D220"/>
  <c r="C220"/>
  <c r="N219"/>
  <c r="G219"/>
  <c r="F219"/>
  <c r="E219"/>
  <c r="D219"/>
  <c r="C219"/>
  <c r="N218"/>
  <c r="G218"/>
  <c r="F218"/>
  <c r="E218"/>
  <c r="D218"/>
  <c r="C218"/>
  <c r="N217"/>
  <c r="G217"/>
  <c r="F217"/>
  <c r="E217"/>
  <c r="D217"/>
  <c r="C217"/>
  <c r="N216"/>
  <c r="G216"/>
  <c r="F216"/>
  <c r="E216"/>
  <c r="D216"/>
  <c r="C216"/>
  <c r="N215"/>
  <c r="G215"/>
  <c r="F215"/>
  <c r="E215"/>
  <c r="D215"/>
  <c r="C215"/>
  <c r="N214"/>
  <c r="G214"/>
  <c r="F214"/>
  <c r="E214"/>
  <c r="D214"/>
  <c r="C214"/>
  <c r="N213"/>
  <c r="G213"/>
  <c r="F213"/>
  <c r="E213"/>
  <c r="D213"/>
  <c r="C213"/>
  <c r="N212"/>
  <c r="G212"/>
  <c r="F212"/>
  <c r="E212"/>
  <c r="D212"/>
  <c r="C212"/>
  <c r="N211"/>
  <c r="G211"/>
  <c r="F211"/>
  <c r="E211"/>
  <c r="D211"/>
  <c r="C211"/>
  <c r="N210"/>
  <c r="G210"/>
  <c r="F210"/>
  <c r="E210"/>
  <c r="D210"/>
  <c r="C210"/>
  <c r="N209"/>
  <c r="G209"/>
  <c r="F209"/>
  <c r="E209"/>
  <c r="D209"/>
  <c r="C209"/>
  <c r="N208"/>
  <c r="G208"/>
  <c r="F208"/>
  <c r="E208"/>
  <c r="D208"/>
  <c r="C208"/>
  <c r="N207"/>
  <c r="G207"/>
  <c r="F207"/>
  <c r="E207"/>
  <c r="D207"/>
  <c r="C207"/>
  <c r="N206"/>
  <c r="G206"/>
  <c r="F206"/>
  <c r="E206"/>
  <c r="D206"/>
  <c r="C206"/>
  <c r="N205"/>
  <c r="G205"/>
  <c r="F205"/>
  <c r="E205"/>
  <c r="D205"/>
  <c r="C205"/>
  <c r="N204"/>
  <c r="G204"/>
  <c r="F204"/>
  <c r="E204"/>
  <c r="D204"/>
  <c r="C204"/>
  <c r="N203"/>
  <c r="G203"/>
  <c r="F203"/>
  <c r="E203"/>
  <c r="D203"/>
  <c r="C203"/>
  <c r="N202"/>
  <c r="G202"/>
  <c r="F202"/>
  <c r="E202"/>
  <c r="D202"/>
  <c r="C202"/>
  <c r="N201"/>
  <c r="G201"/>
  <c r="F201"/>
  <c r="E201"/>
  <c r="D201"/>
  <c r="C201"/>
  <c r="N200"/>
  <c r="G200"/>
  <c r="F200"/>
  <c r="E200"/>
  <c r="D200"/>
  <c r="C200"/>
  <c r="N199"/>
  <c r="G199"/>
  <c r="F199"/>
  <c r="E199"/>
  <c r="D199"/>
  <c r="C199"/>
  <c r="N198"/>
  <c r="G198"/>
  <c r="F198"/>
  <c r="E198"/>
  <c r="D198"/>
  <c r="C198"/>
  <c r="N197"/>
  <c r="G197"/>
  <c r="F197"/>
  <c r="E197"/>
  <c r="D197"/>
  <c r="C197"/>
  <c r="N196"/>
  <c r="G196"/>
  <c r="F196"/>
  <c r="E196"/>
  <c r="D196"/>
  <c r="C196"/>
  <c r="N195"/>
  <c r="G195"/>
  <c r="F195"/>
  <c r="E195"/>
  <c r="D195"/>
  <c r="C195"/>
  <c r="N194"/>
  <c r="G194"/>
  <c r="F194"/>
  <c r="E194"/>
  <c r="D194"/>
  <c r="C194"/>
  <c r="N193"/>
  <c r="G193"/>
  <c r="F193"/>
  <c r="E193"/>
  <c r="D193"/>
  <c r="C193"/>
  <c r="N192"/>
  <c r="G192"/>
  <c r="F192"/>
  <c r="E192"/>
  <c r="D192"/>
  <c r="C192"/>
  <c r="N191"/>
  <c r="G191"/>
  <c r="F191"/>
  <c r="E191"/>
  <c r="D191"/>
  <c r="C191"/>
  <c r="N190"/>
  <c r="G190"/>
  <c r="F190"/>
  <c r="E190"/>
  <c r="D190"/>
  <c r="C190"/>
  <c r="N189"/>
  <c r="G189"/>
  <c r="F189"/>
  <c r="E189"/>
  <c r="D189"/>
  <c r="C189"/>
  <c r="N188"/>
  <c r="G188"/>
  <c r="F188"/>
  <c r="E188"/>
  <c r="D188"/>
  <c r="C188"/>
  <c r="N187"/>
  <c r="G187"/>
  <c r="F187"/>
  <c r="E187"/>
  <c r="D187"/>
  <c r="C187"/>
  <c r="N186"/>
  <c r="G186"/>
  <c r="F186"/>
  <c r="E186"/>
  <c r="D186"/>
  <c r="C186"/>
  <c r="N185"/>
  <c r="G185"/>
  <c r="F185"/>
  <c r="E185"/>
  <c r="D185"/>
  <c r="C185"/>
  <c r="N184"/>
  <c r="G184"/>
  <c r="F184"/>
  <c r="E184"/>
  <c r="D184"/>
  <c r="C184"/>
  <c r="N183"/>
  <c r="G183"/>
  <c r="F183"/>
  <c r="E183"/>
  <c r="D183"/>
  <c r="C183"/>
  <c r="N182"/>
  <c r="G182"/>
  <c r="F182"/>
  <c r="E182"/>
  <c r="D182"/>
  <c r="C182"/>
  <c r="N181"/>
  <c r="G181"/>
  <c r="F181"/>
  <c r="E181"/>
  <c r="D181"/>
  <c r="C181"/>
  <c r="N180"/>
  <c r="G180"/>
  <c r="F180"/>
  <c r="E180"/>
  <c r="D180"/>
  <c r="C180"/>
  <c r="N179"/>
  <c r="G179"/>
  <c r="F179"/>
  <c r="E179"/>
  <c r="D179"/>
  <c r="C179"/>
  <c r="N178"/>
  <c r="G178"/>
  <c r="F178"/>
  <c r="E178"/>
  <c r="D178"/>
  <c r="C178"/>
  <c r="N177"/>
  <c r="G177"/>
  <c r="F177"/>
  <c r="E177"/>
  <c r="D177"/>
  <c r="C177"/>
  <c r="N176"/>
  <c r="G176"/>
  <c r="F176"/>
  <c r="E176"/>
  <c r="D176"/>
  <c r="C176"/>
  <c r="N175"/>
  <c r="G175"/>
  <c r="F175"/>
  <c r="E175"/>
  <c r="D175"/>
  <c r="C175"/>
  <c r="N174"/>
  <c r="G174"/>
  <c r="F174"/>
  <c r="E174"/>
  <c r="D174"/>
  <c r="C174"/>
  <c r="N173"/>
  <c r="G173"/>
  <c r="F173"/>
  <c r="E173"/>
  <c r="D173"/>
  <c r="C173"/>
  <c r="N172"/>
  <c r="G172"/>
  <c r="F172"/>
  <c r="E172"/>
  <c r="D172"/>
  <c r="C172"/>
  <c r="N171"/>
  <c r="G171"/>
  <c r="F171"/>
  <c r="E171"/>
  <c r="D171"/>
  <c r="C171"/>
  <c r="N170"/>
  <c r="G170"/>
  <c r="F170"/>
  <c r="E170"/>
  <c r="D170"/>
  <c r="C170"/>
  <c r="N169"/>
  <c r="G169"/>
  <c r="F169"/>
  <c r="E169"/>
  <c r="D169"/>
  <c r="C169"/>
  <c r="N168"/>
  <c r="G168"/>
  <c r="F168"/>
  <c r="E168"/>
  <c r="D168"/>
  <c r="C168"/>
  <c r="N167"/>
  <c r="G167"/>
  <c r="F167"/>
  <c r="E167"/>
  <c r="D167"/>
  <c r="C167"/>
  <c r="N166"/>
  <c r="G166"/>
  <c r="F166"/>
  <c r="E166"/>
  <c r="D166"/>
  <c r="C166"/>
  <c r="N165"/>
  <c r="G165"/>
  <c r="F165"/>
  <c r="E165"/>
  <c r="D165"/>
  <c r="C165"/>
  <c r="N164"/>
  <c r="G164"/>
  <c r="F164"/>
  <c r="E164"/>
  <c r="D164"/>
  <c r="C164"/>
  <c r="N163"/>
  <c r="G163"/>
  <c r="F163"/>
  <c r="E163"/>
  <c r="D163"/>
  <c r="C163"/>
  <c r="N162"/>
  <c r="G162"/>
  <c r="F162"/>
  <c r="E162"/>
  <c r="D162"/>
  <c r="C162"/>
  <c r="N161"/>
  <c r="G161"/>
  <c r="F161"/>
  <c r="E161"/>
  <c r="D161"/>
  <c r="C161"/>
  <c r="N160"/>
  <c r="G160"/>
  <c r="F160"/>
  <c r="E160"/>
  <c r="D160"/>
  <c r="C160"/>
  <c r="N159"/>
  <c r="G159"/>
  <c r="F159"/>
  <c r="E159"/>
  <c r="D159"/>
  <c r="C159"/>
  <c r="N158"/>
  <c r="G158"/>
  <c r="F158"/>
  <c r="E158"/>
  <c r="D158"/>
  <c r="C158"/>
  <c r="N157"/>
  <c r="G157"/>
  <c r="F157"/>
  <c r="E157"/>
  <c r="D157"/>
  <c r="C157"/>
  <c r="N156"/>
  <c r="G156"/>
  <c r="F156"/>
  <c r="E156"/>
  <c r="D156"/>
  <c r="C156"/>
  <c r="N155"/>
  <c r="G155"/>
  <c r="F155"/>
  <c r="E155"/>
  <c r="D155"/>
  <c r="C155"/>
  <c r="N154"/>
  <c r="G154"/>
  <c r="F154"/>
  <c r="E154"/>
  <c r="D154"/>
  <c r="C154"/>
  <c r="N153"/>
  <c r="G153"/>
  <c r="F153"/>
  <c r="E153"/>
  <c r="D153"/>
  <c r="C153"/>
  <c r="N152"/>
  <c r="G152"/>
  <c r="F152"/>
  <c r="E152"/>
  <c r="D152"/>
  <c r="C152"/>
  <c r="N151"/>
  <c r="G151"/>
  <c r="F151"/>
  <c r="E151"/>
  <c r="D151"/>
  <c r="C151"/>
  <c r="N150"/>
  <c r="G150"/>
  <c r="F150"/>
  <c r="E150"/>
  <c r="D150"/>
  <c r="C150"/>
  <c r="N149"/>
  <c r="G149"/>
  <c r="F149"/>
  <c r="E149"/>
  <c r="D149"/>
  <c r="C149"/>
  <c r="N148"/>
  <c r="G148"/>
  <c r="F148"/>
  <c r="E148"/>
  <c r="D148"/>
  <c r="C148"/>
  <c r="N147"/>
  <c r="G147"/>
  <c r="F147"/>
  <c r="E147"/>
  <c r="D147"/>
  <c r="C147"/>
  <c r="N146"/>
  <c r="G146"/>
  <c r="F146"/>
  <c r="E146"/>
  <c r="D146"/>
  <c r="C146"/>
  <c r="N145"/>
  <c r="G145"/>
  <c r="F145"/>
  <c r="E145"/>
  <c r="D145"/>
  <c r="C145"/>
  <c r="N144"/>
  <c r="G144"/>
  <c r="F144"/>
  <c r="E144"/>
  <c r="D144"/>
  <c r="C144"/>
  <c r="N143"/>
  <c r="G143"/>
  <c r="F143"/>
  <c r="E143"/>
  <c r="D143"/>
  <c r="C143"/>
  <c r="N142"/>
  <c r="G142"/>
  <c r="F142"/>
  <c r="E142"/>
  <c r="D142"/>
  <c r="C142"/>
  <c r="N141"/>
  <c r="G141"/>
  <c r="F141"/>
  <c r="E141"/>
  <c r="D141"/>
  <c r="C141"/>
  <c r="N140"/>
  <c r="G140"/>
  <c r="F140"/>
  <c r="E140"/>
  <c r="D140"/>
  <c r="C140"/>
  <c r="N139"/>
  <c r="G139"/>
  <c r="F139"/>
  <c r="E139"/>
  <c r="D139"/>
  <c r="C139"/>
  <c r="N138"/>
  <c r="G138"/>
  <c r="F138"/>
  <c r="E138"/>
  <c r="D138"/>
  <c r="C138"/>
  <c r="N137"/>
  <c r="G137"/>
  <c r="F137"/>
  <c r="E137"/>
  <c r="D137"/>
  <c r="C137"/>
  <c r="N136"/>
  <c r="G136"/>
  <c r="F136"/>
  <c r="E136"/>
  <c r="D136"/>
  <c r="C136"/>
  <c r="N135"/>
  <c r="G135"/>
  <c r="F135"/>
  <c r="E135"/>
  <c r="D135"/>
  <c r="C135"/>
  <c r="N134"/>
  <c r="G134"/>
  <c r="F134"/>
  <c r="E134"/>
  <c r="D134"/>
  <c r="C134"/>
  <c r="N133"/>
  <c r="G133"/>
  <c r="F133"/>
  <c r="E133"/>
  <c r="D133"/>
  <c r="C133"/>
  <c r="N132"/>
  <c r="G132"/>
  <c r="F132"/>
  <c r="E132"/>
  <c r="D132"/>
  <c r="C132"/>
  <c r="N131"/>
  <c r="G131"/>
  <c r="F131"/>
  <c r="E131"/>
  <c r="D131"/>
  <c r="C131"/>
  <c r="N130"/>
  <c r="G130"/>
  <c r="F130"/>
  <c r="E130"/>
  <c r="D130"/>
  <c r="C130"/>
  <c r="N129"/>
  <c r="G129"/>
  <c r="F129"/>
  <c r="E129"/>
  <c r="D129"/>
  <c r="C129"/>
  <c r="N128"/>
  <c r="G128"/>
  <c r="F128"/>
  <c r="E128"/>
  <c r="D128"/>
  <c r="C128"/>
  <c r="N127"/>
  <c r="G127"/>
  <c r="F127"/>
  <c r="E127"/>
  <c r="D127"/>
  <c r="C127"/>
  <c r="N126"/>
  <c r="G126"/>
  <c r="F126"/>
  <c r="E126"/>
  <c r="D126"/>
  <c r="C126"/>
  <c r="N125"/>
  <c r="G125"/>
  <c r="F125"/>
  <c r="E125"/>
  <c r="D125"/>
  <c r="C125"/>
  <c r="N124"/>
  <c r="G124"/>
  <c r="F124"/>
  <c r="E124"/>
  <c r="D124"/>
  <c r="C124"/>
  <c r="N123"/>
  <c r="G123"/>
  <c r="F123"/>
  <c r="E123"/>
  <c r="D123"/>
  <c r="C123"/>
  <c r="N122"/>
  <c r="G122"/>
  <c r="F122"/>
  <c r="E122"/>
  <c r="D122"/>
  <c r="C122"/>
  <c r="N121"/>
  <c r="G121"/>
  <c r="F121"/>
  <c r="E121"/>
  <c r="D121"/>
  <c r="C121"/>
  <c r="N120"/>
  <c r="G120"/>
  <c r="F120"/>
  <c r="E120"/>
  <c r="D120"/>
  <c r="C120"/>
  <c r="N119"/>
  <c r="G119"/>
  <c r="F119"/>
  <c r="E119"/>
  <c r="D119"/>
  <c r="C119"/>
  <c r="N118"/>
  <c r="G118"/>
  <c r="F118"/>
  <c r="E118"/>
  <c r="D118"/>
  <c r="C118"/>
  <c r="N117"/>
  <c r="G117"/>
  <c r="F117"/>
  <c r="E117"/>
  <c r="D117"/>
  <c r="C117"/>
  <c r="N116"/>
  <c r="G116"/>
  <c r="F116"/>
  <c r="E116"/>
  <c r="D116"/>
  <c r="C116"/>
  <c r="N115"/>
  <c r="G115"/>
  <c r="F115"/>
  <c r="E115"/>
  <c r="D115"/>
  <c r="C115"/>
  <c r="N114"/>
  <c r="G114"/>
  <c r="F114"/>
  <c r="E114"/>
  <c r="D114"/>
  <c r="C114"/>
  <c r="N113"/>
  <c r="G113"/>
  <c r="F113"/>
  <c r="E113"/>
  <c r="D113"/>
  <c r="C113"/>
  <c r="N112"/>
  <c r="G112"/>
  <c r="F112"/>
  <c r="E112"/>
  <c r="D112"/>
  <c r="C112"/>
  <c r="N111"/>
  <c r="G111"/>
  <c r="F111"/>
  <c r="E111"/>
  <c r="D111"/>
  <c r="C111"/>
  <c r="N110"/>
  <c r="G110"/>
  <c r="F110"/>
  <c r="E110"/>
  <c r="D110"/>
  <c r="C110"/>
  <c r="N109"/>
  <c r="G109"/>
  <c r="F109"/>
  <c r="E109"/>
  <c r="D109"/>
  <c r="C109"/>
  <c r="N108"/>
  <c r="G108"/>
  <c r="F108"/>
  <c r="E108"/>
  <c r="D108"/>
  <c r="C108"/>
  <c r="N107"/>
  <c r="G107"/>
  <c r="F107"/>
  <c r="E107"/>
  <c r="D107"/>
  <c r="C107"/>
  <c r="N106"/>
  <c r="G106"/>
  <c r="F106"/>
  <c r="E106"/>
  <c r="D106"/>
  <c r="C106"/>
  <c r="N105"/>
  <c r="G105"/>
  <c r="F105"/>
  <c r="E105"/>
  <c r="D105"/>
  <c r="C105"/>
  <c r="N104"/>
  <c r="G104"/>
  <c r="F104"/>
  <c r="E104"/>
  <c r="D104"/>
  <c r="C104"/>
  <c r="N103"/>
  <c r="G103"/>
  <c r="F103"/>
  <c r="E103"/>
  <c r="D103"/>
  <c r="C103"/>
  <c r="N102"/>
  <c r="G102"/>
  <c r="F102"/>
  <c r="E102"/>
  <c r="D102"/>
  <c r="C102"/>
  <c r="N101"/>
  <c r="G101"/>
  <c r="F101"/>
  <c r="E101"/>
  <c r="D101"/>
  <c r="C101"/>
  <c r="N100"/>
  <c r="G100"/>
  <c r="F100"/>
  <c r="E100"/>
  <c r="D100"/>
  <c r="C100"/>
  <c r="N99"/>
  <c r="G99"/>
  <c r="F99"/>
  <c r="E99"/>
  <c r="D99"/>
  <c r="C99"/>
  <c r="N98"/>
  <c r="G98"/>
  <c r="F98"/>
  <c r="E98"/>
  <c r="D98"/>
  <c r="C98"/>
  <c r="N97"/>
  <c r="G97"/>
  <c r="F97"/>
  <c r="E97"/>
  <c r="D97"/>
  <c r="C97"/>
  <c r="N96"/>
  <c r="G96"/>
  <c r="F96"/>
  <c r="E96"/>
  <c r="D96"/>
  <c r="C96"/>
  <c r="N95"/>
  <c r="G95"/>
  <c r="F95"/>
  <c r="E95"/>
  <c r="D95"/>
  <c r="C95"/>
  <c r="N94"/>
  <c r="G94"/>
  <c r="F94"/>
  <c r="E94"/>
  <c r="D94"/>
  <c r="C94"/>
  <c r="N93"/>
  <c r="G93"/>
  <c r="F93"/>
  <c r="E93"/>
  <c r="D93"/>
  <c r="C93"/>
  <c r="N92"/>
  <c r="G92"/>
  <c r="F92"/>
  <c r="E92"/>
  <c r="D92"/>
  <c r="C92"/>
  <c r="N91"/>
  <c r="G91"/>
  <c r="F91"/>
  <c r="E91"/>
  <c r="D91"/>
  <c r="C91"/>
  <c r="N90"/>
  <c r="G90"/>
  <c r="F90"/>
  <c r="E90"/>
  <c r="D90"/>
  <c r="C90"/>
  <c r="N89"/>
  <c r="G89"/>
  <c r="F89"/>
  <c r="E89"/>
  <c r="D89"/>
  <c r="C89"/>
  <c r="N88"/>
  <c r="G88"/>
  <c r="F88"/>
  <c r="E88"/>
  <c r="D88"/>
  <c r="C88"/>
  <c r="N87"/>
  <c r="G87"/>
  <c r="F87"/>
  <c r="E87"/>
  <c r="D87"/>
  <c r="C87"/>
  <c r="N86"/>
  <c r="G86"/>
  <c r="F86"/>
  <c r="E86"/>
  <c r="D86"/>
  <c r="C86"/>
  <c r="N85"/>
  <c r="G85"/>
  <c r="F85"/>
  <c r="E85"/>
  <c r="D85"/>
  <c r="C85"/>
  <c r="N84"/>
  <c r="G84"/>
  <c r="F84"/>
  <c r="E84"/>
  <c r="D84"/>
  <c r="C84"/>
  <c r="N83"/>
  <c r="G83"/>
  <c r="F83"/>
  <c r="E83"/>
  <c r="D83"/>
  <c r="C83"/>
  <c r="N82"/>
  <c r="G82"/>
  <c r="F82"/>
  <c r="E82"/>
  <c r="D82"/>
  <c r="C82"/>
  <c r="N81"/>
  <c r="G81"/>
  <c r="F81"/>
  <c r="E81"/>
  <c r="D81"/>
  <c r="C81"/>
  <c r="N80"/>
  <c r="G80"/>
  <c r="F80"/>
  <c r="E80"/>
  <c r="D80"/>
  <c r="C80"/>
  <c r="N79"/>
  <c r="G79"/>
  <c r="F79"/>
  <c r="E79"/>
  <c r="D79"/>
  <c r="C79"/>
  <c r="N78"/>
  <c r="G78"/>
  <c r="F78"/>
  <c r="E78"/>
  <c r="D78"/>
  <c r="C78"/>
  <c r="N77"/>
  <c r="G77"/>
  <c r="F77"/>
  <c r="E77"/>
  <c r="D77"/>
  <c r="C77"/>
  <c r="N76"/>
  <c r="G76"/>
  <c r="F76"/>
  <c r="E76"/>
  <c r="D76"/>
  <c r="C76"/>
  <c r="N75"/>
  <c r="G75"/>
  <c r="F75"/>
  <c r="E75"/>
  <c r="D75"/>
  <c r="C75"/>
  <c r="N74"/>
  <c r="G74"/>
  <c r="F74"/>
  <c r="E74"/>
  <c r="D74"/>
  <c r="C74"/>
  <c r="N73"/>
  <c r="G73"/>
  <c r="F73"/>
  <c r="E73"/>
  <c r="D73"/>
  <c r="C73"/>
  <c r="N72"/>
  <c r="G72"/>
  <c r="F72"/>
  <c r="E72"/>
  <c r="D72"/>
  <c r="C72"/>
  <c r="N71"/>
  <c r="G71"/>
  <c r="F71"/>
  <c r="E71"/>
  <c r="D71"/>
  <c r="C71"/>
  <c r="N70"/>
  <c r="G70"/>
  <c r="F70"/>
  <c r="E70"/>
  <c r="D70"/>
  <c r="C70"/>
  <c r="N69"/>
  <c r="G69"/>
  <c r="F69"/>
  <c r="E69"/>
  <c r="D69"/>
  <c r="C69"/>
  <c r="N68"/>
  <c r="G68"/>
  <c r="F68"/>
  <c r="E68"/>
  <c r="D68"/>
  <c r="C68"/>
  <c r="N67"/>
  <c r="G67"/>
  <c r="F67"/>
  <c r="E67"/>
  <c r="D67"/>
  <c r="C67"/>
  <c r="N66"/>
  <c r="G66"/>
  <c r="F66"/>
  <c r="E66"/>
  <c r="D66"/>
  <c r="C66"/>
  <c r="N65"/>
  <c r="G65"/>
  <c r="F65"/>
  <c r="E65"/>
  <c r="D65"/>
  <c r="C65"/>
  <c r="N64"/>
  <c r="G64"/>
  <c r="F64"/>
  <c r="E64"/>
  <c r="D64"/>
  <c r="C64"/>
  <c r="N63"/>
  <c r="G63"/>
  <c r="F63"/>
  <c r="E63"/>
  <c r="D63"/>
  <c r="C63"/>
  <c r="N62"/>
  <c r="G62"/>
  <c r="F62"/>
  <c r="E62"/>
  <c r="D62"/>
  <c r="C62"/>
  <c r="N61"/>
  <c r="G61"/>
  <c r="F61"/>
  <c r="E61"/>
  <c r="D61"/>
  <c r="C61"/>
  <c r="N60"/>
  <c r="G60"/>
  <c r="F60"/>
  <c r="E60"/>
  <c r="D60"/>
  <c r="C60"/>
  <c r="N59"/>
  <c r="G59"/>
  <c r="F59"/>
  <c r="E59"/>
  <c r="D59"/>
  <c r="C59"/>
  <c r="N58"/>
  <c r="G58"/>
  <c r="F58"/>
  <c r="E58"/>
  <c r="D58"/>
  <c r="C58"/>
  <c r="N57"/>
  <c r="G57"/>
  <c r="F57"/>
  <c r="E57"/>
  <c r="D57"/>
  <c r="C57"/>
  <c r="N56"/>
  <c r="G56"/>
  <c r="F56"/>
  <c r="E56"/>
  <c r="D56"/>
  <c r="C56"/>
  <c r="N55"/>
  <c r="G55"/>
  <c r="F55"/>
  <c r="E55"/>
  <c r="D55"/>
  <c r="C55"/>
  <c r="N54"/>
  <c r="G54"/>
  <c r="F54"/>
  <c r="E54"/>
  <c r="D54"/>
  <c r="C54"/>
  <c r="N53"/>
  <c r="G53"/>
  <c r="F53"/>
  <c r="E53"/>
  <c r="D53"/>
  <c r="C53"/>
  <c r="N52"/>
  <c r="G52"/>
  <c r="F52"/>
  <c r="E52"/>
  <c r="D52"/>
  <c r="C52"/>
  <c r="N51"/>
  <c r="G51"/>
  <c r="F51"/>
  <c r="E51"/>
  <c r="D51"/>
  <c r="C51"/>
  <c r="N50"/>
  <c r="G50"/>
  <c r="F50"/>
  <c r="E50"/>
  <c r="D50"/>
  <c r="C50"/>
  <c r="N49"/>
  <c r="G49"/>
  <c r="F49"/>
  <c r="E49"/>
  <c r="D49"/>
  <c r="C49"/>
  <c r="N48"/>
  <c r="G48"/>
  <c r="F48"/>
  <c r="E48"/>
  <c r="D48"/>
  <c r="C48"/>
  <c r="N47"/>
  <c r="G47"/>
  <c r="F47"/>
  <c r="E47"/>
  <c r="D47"/>
  <c r="C47"/>
  <c r="N46"/>
  <c r="G46"/>
  <c r="F46"/>
  <c r="E46"/>
  <c r="D46"/>
  <c r="C46"/>
  <c r="N45"/>
  <c r="G45"/>
  <c r="F45"/>
  <c r="E45"/>
  <c r="D45"/>
  <c r="C45"/>
  <c r="N44"/>
  <c r="G44"/>
  <c r="F44"/>
  <c r="E44"/>
  <c r="D44"/>
  <c r="C44"/>
  <c r="N43"/>
  <c r="G43"/>
  <c r="F43"/>
  <c r="E43"/>
  <c r="D43"/>
  <c r="C43"/>
  <c r="N42"/>
  <c r="G42"/>
  <c r="F42"/>
  <c r="E42"/>
  <c r="D42"/>
  <c r="C42"/>
  <c r="N41"/>
  <c r="G41"/>
  <c r="F41"/>
  <c r="E41"/>
  <c r="D41"/>
  <c r="C41"/>
  <c r="N40"/>
  <c r="G40"/>
  <c r="F40"/>
  <c r="E40"/>
  <c r="D40"/>
  <c r="C40"/>
  <c r="N39"/>
  <c r="G39"/>
  <c r="F39"/>
  <c r="E39"/>
  <c r="D39"/>
  <c r="C39"/>
  <c r="N38"/>
  <c r="G38"/>
  <c r="F38"/>
  <c r="E38"/>
  <c r="D38"/>
  <c r="C38"/>
  <c r="N37"/>
  <c r="G37"/>
  <c r="F37"/>
  <c r="E37"/>
  <c r="D37"/>
  <c r="C37"/>
  <c r="N36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B64" i="13" l="1"/>
  <c r="A64"/>
  <c r="B55"/>
  <c r="A55"/>
  <c r="B45"/>
  <c r="A45"/>
  <c r="B41"/>
  <c r="A41"/>
  <c r="B39"/>
  <c r="A39"/>
  <c r="B36"/>
  <c r="A36"/>
  <c r="B34"/>
  <c r="A34"/>
  <c r="B25"/>
  <c r="A25"/>
  <c r="B17"/>
  <c r="A17"/>
  <c r="B9"/>
  <c r="A9"/>
  <c r="B4"/>
  <c r="A4"/>
  <c r="B3"/>
  <c r="A3"/>
  <c r="V34" i="1" l="1"/>
  <c r="D1585" i="17" l="1"/>
  <c r="D1582"/>
  <c r="D1577"/>
  <c r="D1563"/>
  <c r="D483"/>
  <c r="D1522"/>
  <c r="D1560"/>
  <c r="D1508"/>
  <c r="D1362"/>
  <c r="D1469"/>
  <c r="D1559"/>
  <c r="D1558"/>
  <c r="D1300"/>
  <c r="D1548"/>
  <c r="D1547"/>
  <c r="D1189"/>
  <c r="D1546"/>
  <c r="D1545"/>
  <c r="D1544"/>
  <c r="D1090"/>
  <c r="D1500"/>
  <c r="D1498"/>
  <c r="D1377"/>
  <c r="D1358"/>
  <c r="D1164"/>
  <c r="D1281"/>
  <c r="D1152"/>
  <c r="D1118"/>
  <c r="D1299"/>
  <c r="D1055"/>
  <c r="D661"/>
  <c r="D1530"/>
  <c r="D1531"/>
  <c r="D1529"/>
  <c r="D1528"/>
  <c r="D1525"/>
  <c r="D1527"/>
  <c r="D1526"/>
  <c r="D1523"/>
  <c r="D1512"/>
  <c r="D1521"/>
  <c r="D1516"/>
  <c r="D1520"/>
  <c r="D1423"/>
  <c r="D1519"/>
  <c r="D1524"/>
  <c r="D1515"/>
  <c r="D1517"/>
  <c r="D1514"/>
  <c r="D1518"/>
  <c r="D1513"/>
  <c r="D1459"/>
  <c r="D1510"/>
  <c r="D1557"/>
  <c r="D1556"/>
  <c r="D1492"/>
  <c r="D1511"/>
  <c r="D1502"/>
  <c r="D1504"/>
  <c r="D1501"/>
  <c r="D1507"/>
  <c r="D1503"/>
  <c r="D1484"/>
  <c r="D1506"/>
  <c r="D1490"/>
  <c r="D1509"/>
  <c r="D1479"/>
  <c r="D1495"/>
  <c r="D1499"/>
  <c r="D1505"/>
  <c r="D1481"/>
  <c r="D1378"/>
  <c r="D1483"/>
  <c r="D1494"/>
  <c r="D1475"/>
  <c r="D1489"/>
  <c r="D1493"/>
  <c r="D1497"/>
  <c r="D1496"/>
  <c r="D1485"/>
  <c r="D1480"/>
  <c r="D1488"/>
  <c r="D1473"/>
  <c r="D1477"/>
  <c r="D1482"/>
  <c r="D1454"/>
  <c r="D1478"/>
  <c r="D1491"/>
  <c r="D1370"/>
  <c r="D1487"/>
  <c r="D1383"/>
  <c r="D1543"/>
  <c r="D1474"/>
  <c r="D1472"/>
  <c r="D1465"/>
  <c r="D1467"/>
  <c r="D1419"/>
  <c r="D1468"/>
  <c r="D1464"/>
  <c r="D1486"/>
  <c r="D1476"/>
  <c r="D1399"/>
  <c r="D1466"/>
  <c r="D1542"/>
  <c r="D1438"/>
  <c r="D1555"/>
  <c r="D1462"/>
  <c r="D1442"/>
  <c r="D1453"/>
  <c r="D1428"/>
  <c r="D1390"/>
  <c r="D1452"/>
  <c r="D1457"/>
  <c r="D1403"/>
  <c r="D1364"/>
  <c r="D1446"/>
  <c r="D1355"/>
  <c r="D1449"/>
  <c r="D1463"/>
  <c r="D1460"/>
  <c r="D1470"/>
  <c r="D1417"/>
  <c r="D1450"/>
  <c r="D1435"/>
  <c r="D1441"/>
  <c r="D1448"/>
  <c r="D1333"/>
  <c r="D1456"/>
  <c r="D1405"/>
  <c r="D1444"/>
  <c r="D1451"/>
  <c r="D1443"/>
  <c r="D1049"/>
  <c r="D1398"/>
  <c r="D1416"/>
  <c r="D1433"/>
  <c r="D1430"/>
  <c r="D1440"/>
  <c r="D1418"/>
  <c r="D1194"/>
  <c r="D1429"/>
  <c r="D1326"/>
  <c r="D1335"/>
  <c r="D1439"/>
  <c r="D1422"/>
  <c r="D1424"/>
  <c r="D1437"/>
  <c r="D1426"/>
  <c r="D1415"/>
  <c r="D1408"/>
  <c r="D1366"/>
  <c r="D1275"/>
  <c r="D1455"/>
  <c r="D1369"/>
  <c r="D1425"/>
  <c r="D1347"/>
  <c r="D1392"/>
  <c r="D1391"/>
  <c r="D1396"/>
  <c r="D1357"/>
  <c r="D1434"/>
  <c r="D1420"/>
  <c r="D1436"/>
  <c r="D1365"/>
  <c r="D1407"/>
  <c r="D1388"/>
  <c r="D1393"/>
  <c r="D1395"/>
  <c r="D1431"/>
  <c r="D1410"/>
  <c r="D1343"/>
  <c r="D1385"/>
  <c r="D1373"/>
  <c r="D1372"/>
  <c r="D1458"/>
  <c r="D1411"/>
  <c r="D1541"/>
  <c r="D1389"/>
  <c r="D1386"/>
  <c r="D1387"/>
  <c r="D1414"/>
  <c r="D1394"/>
  <c r="D1412"/>
  <c r="D1397"/>
  <c r="D1432"/>
  <c r="D472"/>
  <c r="D1375"/>
  <c r="D1402"/>
  <c r="D1409"/>
  <c r="D1384"/>
  <c r="D1400"/>
  <c r="D1233"/>
  <c r="D784"/>
  <c r="D1329"/>
  <c r="D1421"/>
  <c r="D1327"/>
  <c r="D1356"/>
  <c r="D1406"/>
  <c r="D1332"/>
  <c r="D1401"/>
  <c r="D1351"/>
  <c r="D1368"/>
  <c r="D1382"/>
  <c r="D1129"/>
  <c r="D1290"/>
  <c r="D1404"/>
  <c r="D1342"/>
  <c r="D1289"/>
  <c r="D1554"/>
  <c r="D1328"/>
  <c r="D1334"/>
  <c r="D1317"/>
  <c r="D1359"/>
  <c r="D1363"/>
  <c r="D1352"/>
  <c r="D1234"/>
  <c r="D1360"/>
  <c r="D1376"/>
  <c r="D1181"/>
  <c r="D1295"/>
  <c r="D1447"/>
  <c r="D1337"/>
  <c r="D1220"/>
  <c r="D1283"/>
  <c r="D1153"/>
  <c r="D1350"/>
  <c r="D1330"/>
  <c r="D1341"/>
  <c r="D1349"/>
  <c r="D1427"/>
  <c r="D1294"/>
  <c r="D1374"/>
  <c r="D1322"/>
  <c r="D1380"/>
  <c r="D1253"/>
  <c r="D1315"/>
  <c r="D1336"/>
  <c r="D1267"/>
  <c r="D1314"/>
  <c r="D1305"/>
  <c r="D1321"/>
  <c r="D1344"/>
  <c r="D901"/>
  <c r="D1325"/>
  <c r="D1413"/>
  <c r="D1379"/>
  <c r="D1324"/>
  <c r="D1254"/>
  <c r="D1346"/>
  <c r="D1312"/>
  <c r="D1371"/>
  <c r="D1306"/>
  <c r="D1248"/>
  <c r="D1169"/>
  <c r="D1308"/>
  <c r="D1298"/>
  <c r="D1292"/>
  <c r="D1296"/>
  <c r="D1241"/>
  <c r="D1249"/>
  <c r="D1310"/>
  <c r="D1316"/>
  <c r="D1340"/>
  <c r="D1361"/>
  <c r="D1157"/>
  <c r="D1313"/>
  <c r="D1354"/>
  <c r="D1282"/>
  <c r="D1155"/>
  <c r="D1242"/>
  <c r="D1260"/>
  <c r="D1303"/>
  <c r="D1353"/>
  <c r="D1339"/>
  <c r="D1244"/>
  <c r="D1331"/>
  <c r="D1238"/>
  <c r="D1255"/>
  <c r="D1225"/>
  <c r="D1293"/>
  <c r="D1445"/>
  <c r="D1271"/>
  <c r="D1367"/>
  <c r="D1278"/>
  <c r="D1323"/>
  <c r="D1245"/>
  <c r="D1263"/>
  <c r="D1309"/>
  <c r="D1287"/>
  <c r="D628"/>
  <c r="D1348"/>
  <c r="D1319"/>
  <c r="D1265"/>
  <c r="D1231"/>
  <c r="D1553"/>
  <c r="D1302"/>
  <c r="D1227"/>
  <c r="D1236"/>
  <c r="D1311"/>
  <c r="D1221"/>
  <c r="D1320"/>
  <c r="D1259"/>
  <c r="D1285"/>
  <c r="D1381"/>
  <c r="D1304"/>
  <c r="D1256"/>
  <c r="D1307"/>
  <c r="D1257"/>
  <c r="D1261"/>
  <c r="D1268"/>
  <c r="D1291"/>
  <c r="D1272"/>
  <c r="D1198"/>
  <c r="D1258"/>
  <c r="D1540"/>
  <c r="D1206"/>
  <c r="D1279"/>
  <c r="D1216"/>
  <c r="D1273"/>
  <c r="D1224"/>
  <c r="D1277"/>
  <c r="D1345"/>
  <c r="D1174"/>
  <c r="D1270"/>
  <c r="D1318"/>
  <c r="D1262"/>
  <c r="D978"/>
  <c r="D1199"/>
  <c r="D1166"/>
  <c r="D1276"/>
  <c r="D1237"/>
  <c r="D1175"/>
  <c r="D1274"/>
  <c r="D1120"/>
  <c r="D1222"/>
  <c r="D1251"/>
  <c r="D813"/>
  <c r="D1219"/>
  <c r="D1207"/>
  <c r="D1246"/>
  <c r="D1197"/>
  <c r="D1171"/>
  <c r="D1079"/>
  <c r="D844"/>
  <c r="D1170"/>
  <c r="D1185"/>
  <c r="D1075"/>
  <c r="D834"/>
  <c r="D1266"/>
  <c r="D1269"/>
  <c r="D1202"/>
  <c r="D1064"/>
  <c r="D1213"/>
  <c r="D1297"/>
  <c r="D1288"/>
  <c r="D1252"/>
  <c r="D1250"/>
  <c r="D1243"/>
  <c r="D1284"/>
  <c r="D1188"/>
  <c r="D1203"/>
  <c r="D1215"/>
  <c r="D1016"/>
  <c r="D1069"/>
  <c r="D1096"/>
  <c r="D1193"/>
  <c r="D1091"/>
  <c r="D1132"/>
  <c r="D1133"/>
  <c r="D1192"/>
  <c r="D1201"/>
  <c r="D1235"/>
  <c r="D1154"/>
  <c r="D1539"/>
  <c r="D1131"/>
  <c r="D1301"/>
  <c r="D1247"/>
  <c r="D1150"/>
  <c r="D1226"/>
  <c r="D1229"/>
  <c r="D1130"/>
  <c r="D1117"/>
  <c r="D1223"/>
  <c r="D1182"/>
  <c r="D1190"/>
  <c r="D1204"/>
  <c r="D1168"/>
  <c r="D1045"/>
  <c r="D1173"/>
  <c r="D1212"/>
  <c r="D1112"/>
  <c r="D1122"/>
  <c r="D1217"/>
  <c r="D1178"/>
  <c r="D1183"/>
  <c r="D1138"/>
  <c r="D1240"/>
  <c r="D1142"/>
  <c r="D1163"/>
  <c r="D1160"/>
  <c r="D1208"/>
  <c r="D1156"/>
  <c r="D1228"/>
  <c r="D1161"/>
  <c r="D1232"/>
  <c r="D1159"/>
  <c r="D1196"/>
  <c r="D1214"/>
  <c r="D1151"/>
  <c r="D1158"/>
  <c r="D682"/>
  <c r="D1210"/>
  <c r="D1082"/>
  <c r="D1092"/>
  <c r="D1099"/>
  <c r="D1143"/>
  <c r="D1102"/>
  <c r="D1286"/>
  <c r="D1141"/>
  <c r="D1211"/>
  <c r="D1209"/>
  <c r="D1180"/>
  <c r="D1149"/>
  <c r="D1187"/>
  <c r="D1137"/>
  <c r="D880"/>
  <c r="D1134"/>
  <c r="D1172"/>
  <c r="D1144"/>
  <c r="D1081"/>
  <c r="D1338"/>
  <c r="D1103"/>
  <c r="D1087"/>
  <c r="D1239"/>
  <c r="D1195"/>
  <c r="D990"/>
  <c r="D1119"/>
  <c r="D1140"/>
  <c r="D1097"/>
  <c r="D1072"/>
  <c r="D1139"/>
  <c r="D1071"/>
  <c r="D1125"/>
  <c r="D1146"/>
  <c r="D1116"/>
  <c r="D1264"/>
  <c r="D791"/>
  <c r="D1205"/>
  <c r="D1061"/>
  <c r="D1176"/>
  <c r="D1100"/>
  <c r="D1124"/>
  <c r="D1077"/>
  <c r="D1538"/>
  <c r="D1165"/>
  <c r="D974"/>
  <c r="D1098"/>
  <c r="D982"/>
  <c r="D1200"/>
  <c r="D1089"/>
  <c r="D1085"/>
  <c r="D963"/>
  <c r="D987"/>
  <c r="D1114"/>
  <c r="D1023"/>
  <c r="D1083"/>
  <c r="D1218"/>
  <c r="D1135"/>
  <c r="D1109"/>
  <c r="D1280"/>
  <c r="D1147"/>
  <c r="D907"/>
  <c r="D733"/>
  <c r="D1107"/>
  <c r="D961"/>
  <c r="D1184"/>
  <c r="D1126"/>
  <c r="D1104"/>
  <c r="D989"/>
  <c r="D893"/>
  <c r="D1053"/>
  <c r="D1145"/>
  <c r="D1123"/>
  <c r="D1044"/>
  <c r="D1108"/>
  <c r="D1128"/>
  <c r="D1021"/>
  <c r="D809"/>
  <c r="D1191"/>
  <c r="D971"/>
  <c r="D1106"/>
  <c r="D1105"/>
  <c r="D864"/>
  <c r="D1043"/>
  <c r="D1070"/>
  <c r="D1127"/>
  <c r="D1062"/>
  <c r="D683"/>
  <c r="D1167"/>
  <c r="D930"/>
  <c r="D926"/>
  <c r="D1013"/>
  <c r="D1179"/>
  <c r="D1073"/>
  <c r="D1136"/>
  <c r="D1066"/>
  <c r="D828"/>
  <c r="D1088"/>
  <c r="D1031"/>
  <c r="D1041"/>
  <c r="D841"/>
  <c r="D1093"/>
  <c r="D1148"/>
  <c r="D1111"/>
  <c r="D1537"/>
  <c r="D1058"/>
  <c r="D1042"/>
  <c r="D1029"/>
  <c r="D855"/>
  <c r="D955"/>
  <c r="D984"/>
  <c r="D945"/>
  <c r="D1094"/>
  <c r="D1003"/>
  <c r="D1177"/>
  <c r="D942"/>
  <c r="D1039"/>
  <c r="D1046"/>
  <c r="D1037"/>
  <c r="D1008"/>
  <c r="D1067"/>
  <c r="D1032"/>
  <c r="D1057"/>
  <c r="D1038"/>
  <c r="D1028"/>
  <c r="D1115"/>
  <c r="D1005"/>
  <c r="D968"/>
  <c r="D851"/>
  <c r="D1025"/>
  <c r="D1536"/>
  <c r="D845"/>
  <c r="D1113"/>
  <c r="D406"/>
  <c r="D932"/>
  <c r="D868"/>
  <c r="D981"/>
  <c r="D1048"/>
  <c r="D1110"/>
  <c r="D1014"/>
  <c r="D1011"/>
  <c r="D1035"/>
  <c r="D1086"/>
  <c r="D1054"/>
  <c r="D952"/>
  <c r="D906"/>
  <c r="D994"/>
  <c r="D1052"/>
  <c r="D1060"/>
  <c r="D1080"/>
  <c r="D947"/>
  <c r="D1012"/>
  <c r="D938"/>
  <c r="D1015"/>
  <c r="D1076"/>
  <c r="D1033"/>
  <c r="D997"/>
  <c r="D1162"/>
  <c r="D1056"/>
  <c r="D1022"/>
  <c r="D1019"/>
  <c r="D1009"/>
  <c r="D1101"/>
  <c r="D1000"/>
  <c r="D1007"/>
  <c r="D1020"/>
  <c r="D993"/>
  <c r="D998"/>
  <c r="D935"/>
  <c r="D999"/>
  <c r="D929"/>
  <c r="D482"/>
  <c r="D966"/>
  <c r="D889"/>
  <c r="D1552"/>
  <c r="D1010"/>
  <c r="D604"/>
  <c r="D1068"/>
  <c r="D964"/>
  <c r="D1078"/>
  <c r="D1024"/>
  <c r="D976"/>
  <c r="D1059"/>
  <c r="D969"/>
  <c r="D933"/>
  <c r="D743"/>
  <c r="D1002"/>
  <c r="D940"/>
  <c r="D916"/>
  <c r="D1063"/>
  <c r="D884"/>
  <c r="D951"/>
  <c r="D925"/>
  <c r="D1551"/>
  <c r="D802"/>
  <c r="D936"/>
  <c r="D1034"/>
  <c r="D1040"/>
  <c r="D1036"/>
  <c r="D892"/>
  <c r="D1030"/>
  <c r="D941"/>
  <c r="D461"/>
  <c r="D840"/>
  <c r="D1084"/>
  <c r="D988"/>
  <c r="D911"/>
  <c r="D850"/>
  <c r="D996"/>
  <c r="D962"/>
  <c r="D983"/>
  <c r="D1535"/>
  <c r="D970"/>
  <c r="D980"/>
  <c r="D1004"/>
  <c r="D1550"/>
  <c r="D1027"/>
  <c r="D1001"/>
  <c r="D848"/>
  <c r="D759"/>
  <c r="D1051"/>
  <c r="D860"/>
  <c r="D957"/>
  <c r="D836"/>
  <c r="D781"/>
  <c r="D927"/>
  <c r="D1065"/>
  <c r="D914"/>
  <c r="D979"/>
  <c r="D944"/>
  <c r="D985"/>
  <c r="D1074"/>
  <c r="D991"/>
  <c r="D812"/>
  <c r="D752"/>
  <c r="D905"/>
  <c r="D1095"/>
  <c r="D821"/>
  <c r="D782"/>
  <c r="D946"/>
  <c r="D960"/>
  <c r="D972"/>
  <c r="D1006"/>
  <c r="D973"/>
  <c r="D1230"/>
  <c r="D977"/>
  <c r="D934"/>
  <c r="D931"/>
  <c r="D992"/>
  <c r="D1017"/>
  <c r="D953"/>
  <c r="D922"/>
  <c r="D593"/>
  <c r="D778"/>
  <c r="D921"/>
  <c r="D920"/>
  <c r="D891"/>
  <c r="D887"/>
  <c r="D939"/>
  <c r="D896"/>
  <c r="D975"/>
  <c r="D917"/>
  <c r="D904"/>
  <c r="D664"/>
  <c r="D959"/>
  <c r="D1047"/>
  <c r="D886"/>
  <c r="D800"/>
  <c r="D867"/>
  <c r="D897"/>
  <c r="D954"/>
  <c r="D995"/>
  <c r="D890"/>
  <c r="D822"/>
  <c r="D777"/>
  <c r="D918"/>
  <c r="D950"/>
  <c r="D967"/>
  <c r="D767"/>
  <c r="D854"/>
  <c r="D728"/>
  <c r="D846"/>
  <c r="D909"/>
  <c r="D919"/>
  <c r="D739"/>
  <c r="D895"/>
  <c r="D1534"/>
  <c r="D937"/>
  <c r="D943"/>
  <c r="D1186"/>
  <c r="D801"/>
  <c r="D879"/>
  <c r="D948"/>
  <c r="D956"/>
  <c r="D873"/>
  <c r="D965"/>
  <c r="D1026"/>
  <c r="D883"/>
  <c r="D515"/>
  <c r="D908"/>
  <c r="D825"/>
  <c r="D675"/>
  <c r="D849"/>
  <c r="D1018"/>
  <c r="D776"/>
  <c r="D1471"/>
  <c r="D923"/>
  <c r="D875"/>
  <c r="D859"/>
  <c r="D709"/>
  <c r="D882"/>
  <c r="D758"/>
  <c r="D1050"/>
  <c r="D949"/>
  <c r="D915"/>
  <c r="D754"/>
  <c r="D871"/>
  <c r="D621"/>
  <c r="D924"/>
  <c r="D787"/>
  <c r="D677"/>
  <c r="D902"/>
  <c r="D928"/>
  <c r="D832"/>
  <c r="D761"/>
  <c r="D885"/>
  <c r="D912"/>
  <c r="D870"/>
  <c r="D729"/>
  <c r="D888"/>
  <c r="D830"/>
  <c r="D958"/>
  <c r="D881"/>
  <c r="D861"/>
  <c r="D790"/>
  <c r="D722"/>
  <c r="D770"/>
  <c r="D765"/>
  <c r="D839"/>
  <c r="D622"/>
  <c r="D872"/>
  <c r="D704"/>
  <c r="D494"/>
  <c r="D480"/>
  <c r="D786"/>
  <c r="D847"/>
  <c r="D807"/>
  <c r="D818"/>
  <c r="D727"/>
  <c r="D738"/>
  <c r="D1533"/>
  <c r="D454"/>
  <c r="D805"/>
  <c r="D804"/>
  <c r="D742"/>
  <c r="D876"/>
  <c r="D810"/>
  <c r="D697"/>
  <c r="D793"/>
  <c r="D986"/>
  <c r="D815"/>
  <c r="D690"/>
  <c r="D715"/>
  <c r="D856"/>
  <c r="D747"/>
  <c r="D900"/>
  <c r="D771"/>
  <c r="D817"/>
  <c r="D863"/>
  <c r="D827"/>
  <c r="D874"/>
  <c r="D877"/>
  <c r="D699"/>
  <c r="D780"/>
  <c r="D779"/>
  <c r="D833"/>
  <c r="D852"/>
  <c r="D862"/>
  <c r="D894"/>
  <c r="D829"/>
  <c r="D826"/>
  <c r="D899"/>
  <c r="D707"/>
  <c r="D811"/>
  <c r="D819"/>
  <c r="D762"/>
  <c r="D913"/>
  <c r="D783"/>
  <c r="D869"/>
  <c r="D865"/>
  <c r="D853"/>
  <c r="D808"/>
  <c r="D282"/>
  <c r="D838"/>
  <c r="D789"/>
  <c r="D689"/>
  <c r="D816"/>
  <c r="D798"/>
  <c r="D700"/>
  <c r="D718"/>
  <c r="D555"/>
  <c r="D755"/>
  <c r="D824"/>
  <c r="D714"/>
  <c r="D903"/>
  <c r="D412"/>
  <c r="D820"/>
  <c r="D745"/>
  <c r="D857"/>
  <c r="D1121"/>
  <c r="D692"/>
  <c r="D814"/>
  <c r="D413"/>
  <c r="D1461"/>
  <c r="D806"/>
  <c r="D629"/>
  <c r="D842"/>
  <c r="D910"/>
  <c r="D831"/>
  <c r="D785"/>
  <c r="D734"/>
  <c r="D686"/>
  <c r="D676"/>
  <c r="D878"/>
  <c r="D672"/>
  <c r="D650"/>
  <c r="D858"/>
  <c r="D685"/>
  <c r="D452"/>
  <c r="D763"/>
  <c r="D679"/>
  <c r="D726"/>
  <c r="D823"/>
  <c r="D774"/>
  <c r="D898"/>
  <c r="D794"/>
  <c r="D757"/>
  <c r="D736"/>
  <c r="D595"/>
  <c r="D638"/>
  <c r="D642"/>
  <c r="D720"/>
  <c r="D646"/>
  <c r="D735"/>
  <c r="D698"/>
  <c r="D769"/>
  <c r="D837"/>
  <c r="D750"/>
  <c r="D751"/>
  <c r="D796"/>
  <c r="D866"/>
  <c r="D404"/>
  <c r="D589"/>
  <c r="D723"/>
  <c r="D799"/>
  <c r="D772"/>
  <c r="D711"/>
  <c r="D397"/>
  <c r="D591"/>
  <c r="D680"/>
  <c r="D570"/>
  <c r="D775"/>
  <c r="D731"/>
  <c r="D724"/>
  <c r="D673"/>
  <c r="D835"/>
  <c r="D427"/>
  <c r="D792"/>
  <c r="D730"/>
  <c r="D744"/>
  <c r="D684"/>
  <c r="D702"/>
  <c r="D655"/>
  <c r="D620"/>
  <c r="D713"/>
  <c r="D795"/>
  <c r="D716"/>
  <c r="D489"/>
  <c r="D556"/>
  <c r="D656"/>
  <c r="D732"/>
  <c r="D695"/>
  <c r="D773"/>
  <c r="D843"/>
  <c r="D665"/>
  <c r="D657"/>
  <c r="D670"/>
  <c r="D803"/>
  <c r="D488"/>
  <c r="D693"/>
  <c r="D601"/>
  <c r="D746"/>
  <c r="D696"/>
  <c r="D214"/>
  <c r="D543"/>
  <c r="D797"/>
  <c r="D717"/>
  <c r="D688"/>
  <c r="D687"/>
  <c r="D725"/>
  <c r="D788"/>
  <c r="D756"/>
  <c r="D662"/>
  <c r="D647"/>
  <c r="D444"/>
  <c r="D239"/>
  <c r="D431"/>
  <c r="D640"/>
  <c r="D578"/>
  <c r="D651"/>
  <c r="D249"/>
  <c r="D748"/>
  <c r="D648"/>
  <c r="D528"/>
  <c r="D705"/>
  <c r="D649"/>
  <c r="D691"/>
  <c r="D633"/>
  <c r="D668"/>
  <c r="D403"/>
  <c r="D674"/>
  <c r="D701"/>
  <c r="D532"/>
  <c r="D594"/>
  <c r="D710"/>
  <c r="D764"/>
  <c r="D760"/>
  <c r="D706"/>
  <c r="D658"/>
  <c r="D669"/>
  <c r="D438"/>
  <c r="D610"/>
  <c r="D737"/>
  <c r="D643"/>
  <c r="D576"/>
  <c r="D667"/>
  <c r="D703"/>
  <c r="D641"/>
  <c r="D681"/>
  <c r="D617"/>
  <c r="D627"/>
  <c r="D602"/>
  <c r="D625"/>
  <c r="D659"/>
  <c r="D753"/>
  <c r="D568"/>
  <c r="D740"/>
  <c r="D636"/>
  <c r="D501"/>
  <c r="D631"/>
  <c r="D653"/>
  <c r="D708"/>
  <c r="D671"/>
  <c r="D626"/>
  <c r="D525"/>
  <c r="D328"/>
  <c r="D766"/>
  <c r="D566"/>
  <c r="D592"/>
  <c r="D509"/>
  <c r="D768"/>
  <c r="D554"/>
  <c r="D637"/>
  <c r="D663"/>
  <c r="D577"/>
  <c r="D536"/>
  <c r="D588"/>
  <c r="D519"/>
  <c r="D600"/>
  <c r="D606"/>
  <c r="D611"/>
  <c r="D666"/>
  <c r="D557"/>
  <c r="D639"/>
  <c r="D523"/>
  <c r="D471"/>
  <c r="D712"/>
  <c r="D615"/>
  <c r="D645"/>
  <c r="D614"/>
  <c r="D635"/>
  <c r="D652"/>
  <c r="D630"/>
  <c r="D512"/>
  <c r="D524"/>
  <c r="D619"/>
  <c r="D612"/>
  <c r="D490"/>
  <c r="D613"/>
  <c r="D562"/>
  <c r="D518"/>
  <c r="D590"/>
  <c r="D491"/>
  <c r="D583"/>
  <c r="D580"/>
  <c r="D585"/>
  <c r="D485"/>
  <c r="D721"/>
  <c r="D455"/>
  <c r="D616"/>
  <c r="D694"/>
  <c r="D678"/>
  <c r="D521"/>
  <c r="D544"/>
  <c r="D623"/>
  <c r="D534"/>
  <c r="D563"/>
  <c r="D749"/>
  <c r="D477"/>
  <c r="D442"/>
  <c r="D533"/>
  <c r="D634"/>
  <c r="D372"/>
  <c r="D579"/>
  <c r="D654"/>
  <c r="D608"/>
  <c r="D542"/>
  <c r="D514"/>
  <c r="D346"/>
  <c r="D741"/>
  <c r="D632"/>
  <c r="D603"/>
  <c r="D605"/>
  <c r="D550"/>
  <c r="D609"/>
  <c r="D581"/>
  <c r="D516"/>
  <c r="D510"/>
  <c r="D575"/>
  <c r="D584"/>
  <c r="D531"/>
  <c r="D507"/>
  <c r="D599"/>
  <c r="D502"/>
  <c r="D607"/>
  <c r="D520"/>
  <c r="D288"/>
  <c r="D538"/>
  <c r="D564"/>
  <c r="D500"/>
  <c r="D559"/>
  <c r="D719"/>
  <c r="D598"/>
  <c r="D565"/>
  <c r="D540"/>
  <c r="D417"/>
  <c r="D618"/>
  <c r="D424"/>
  <c r="D508"/>
  <c r="D456"/>
  <c r="D527"/>
  <c r="D423"/>
  <c r="D567"/>
  <c r="D582"/>
  <c r="D364"/>
  <c r="D425"/>
  <c r="D443"/>
  <c r="D572"/>
  <c r="D458"/>
  <c r="D587"/>
  <c r="D535"/>
  <c r="D493"/>
  <c r="D530"/>
  <c r="D447"/>
  <c r="D445"/>
  <c r="D558"/>
  <c r="D545"/>
  <c r="D437"/>
  <c r="D541"/>
  <c r="D505"/>
  <c r="D377"/>
  <c r="D473"/>
  <c r="D236"/>
  <c r="D429"/>
  <c r="D574"/>
  <c r="D318"/>
  <c r="D529"/>
  <c r="D551"/>
  <c r="D553"/>
  <c r="D478"/>
  <c r="D597"/>
  <c r="D539"/>
  <c r="D189"/>
  <c r="D387"/>
  <c r="D422"/>
  <c r="D395"/>
  <c r="D486"/>
  <c r="D561"/>
  <c r="D498"/>
  <c r="D549"/>
  <c r="D569"/>
  <c r="D439"/>
  <c r="D526"/>
  <c r="D537"/>
  <c r="D191"/>
  <c r="D547"/>
  <c r="D552"/>
  <c r="D499"/>
  <c r="D503"/>
  <c r="D517"/>
  <c r="D389"/>
  <c r="D522"/>
  <c r="D506"/>
  <c r="D392"/>
  <c r="D573"/>
  <c r="D316"/>
  <c r="D263"/>
  <c r="D475"/>
  <c r="D354"/>
  <c r="D349"/>
  <c r="D496"/>
  <c r="D469"/>
  <c r="D466"/>
  <c r="D416"/>
  <c r="D290"/>
  <c r="D492"/>
  <c r="D624"/>
  <c r="D596"/>
  <c r="D487"/>
  <c r="D451"/>
  <c r="D391"/>
  <c r="D367"/>
  <c r="D430"/>
  <c r="D586"/>
  <c r="D186"/>
  <c r="D311"/>
  <c r="D329"/>
  <c r="D419"/>
  <c r="D481"/>
  <c r="D227"/>
  <c r="D476"/>
  <c r="D511"/>
  <c r="D459"/>
  <c r="D356"/>
  <c r="D436"/>
  <c r="D513"/>
  <c r="D434"/>
  <c r="D428"/>
  <c r="D560"/>
  <c r="D474"/>
  <c r="D441"/>
  <c r="D465"/>
  <c r="D339"/>
  <c r="D463"/>
  <c r="D396"/>
  <c r="D341"/>
  <c r="D468"/>
  <c r="D484"/>
  <c r="D379"/>
  <c r="D504"/>
  <c r="D351"/>
  <c r="D462"/>
  <c r="D644"/>
  <c r="D495"/>
  <c r="D435"/>
  <c r="D446"/>
  <c r="D571"/>
  <c r="D116"/>
  <c r="D373"/>
  <c r="D548"/>
  <c r="D398"/>
  <c r="D448"/>
  <c r="D380"/>
  <c r="D215"/>
  <c r="D432"/>
  <c r="D386"/>
  <c r="D393"/>
  <c r="D207"/>
  <c r="D449"/>
  <c r="D460"/>
  <c r="D426"/>
  <c r="D244"/>
  <c r="D257"/>
  <c r="D457"/>
  <c r="D266"/>
  <c r="D217"/>
  <c r="D407"/>
  <c r="D385"/>
  <c r="D440"/>
  <c r="D348"/>
  <c r="D410"/>
  <c r="D378"/>
  <c r="D464"/>
  <c r="D415"/>
  <c r="D374"/>
  <c r="D400"/>
  <c r="D411"/>
  <c r="D229"/>
  <c r="D358"/>
  <c r="D546"/>
  <c r="D211"/>
  <c r="D420"/>
  <c r="D219"/>
  <c r="D304"/>
  <c r="D352"/>
  <c r="D470"/>
  <c r="D421"/>
  <c r="D306"/>
  <c r="D369"/>
  <c r="D497"/>
  <c r="D319"/>
  <c r="D409"/>
  <c r="D347"/>
  <c r="D308"/>
  <c r="D287"/>
  <c r="D375"/>
  <c r="D314"/>
  <c r="D394"/>
  <c r="D479"/>
  <c r="D326"/>
  <c r="D453"/>
  <c r="D408"/>
  <c r="D359"/>
  <c r="D222"/>
  <c r="D199"/>
  <c r="D362"/>
  <c r="D399"/>
  <c r="D338"/>
  <c r="D450"/>
  <c r="D302"/>
  <c r="D284"/>
  <c r="D1549"/>
  <c r="D361"/>
  <c r="D383"/>
  <c r="D388"/>
  <c r="D418"/>
  <c r="D127"/>
  <c r="D366"/>
  <c r="D323"/>
  <c r="D315"/>
  <c r="D365"/>
  <c r="D309"/>
  <c r="D291"/>
  <c r="D376"/>
  <c r="D360"/>
  <c r="D178"/>
  <c r="D433"/>
  <c r="D167"/>
  <c r="D382"/>
  <c r="D275"/>
  <c r="D292"/>
  <c r="D268"/>
  <c r="D336"/>
  <c r="D390"/>
  <c r="D467"/>
  <c r="D212"/>
  <c r="D357"/>
  <c r="D363"/>
  <c r="D327"/>
  <c r="D405"/>
  <c r="D370"/>
  <c r="D332"/>
  <c r="D231"/>
  <c r="D350"/>
  <c r="D333"/>
  <c r="D296"/>
  <c r="D344"/>
  <c r="D184"/>
  <c r="D226"/>
  <c r="D141"/>
  <c r="D234"/>
  <c r="D353"/>
  <c r="D321"/>
  <c r="D355"/>
  <c r="D242"/>
  <c r="D381"/>
  <c r="D297"/>
  <c r="D165"/>
  <c r="D335"/>
  <c r="D301"/>
  <c r="D312"/>
  <c r="D247"/>
  <c r="D220"/>
  <c r="D280"/>
  <c r="D294"/>
  <c r="D345"/>
  <c r="D243"/>
  <c r="D289"/>
  <c r="D402"/>
  <c r="D330"/>
  <c r="D187"/>
  <c r="D320"/>
  <c r="D233"/>
  <c r="D270"/>
  <c r="D209"/>
  <c r="D307"/>
  <c r="D325"/>
  <c r="D368"/>
  <c r="D1532"/>
  <c r="D253"/>
  <c r="D342"/>
  <c r="D401"/>
  <c r="D305"/>
  <c r="D660"/>
  <c r="D248"/>
  <c r="D142"/>
  <c r="D298"/>
  <c r="D85"/>
  <c r="D196"/>
  <c r="D337"/>
  <c r="D192"/>
  <c r="D371"/>
  <c r="D201"/>
  <c r="D334"/>
  <c r="D414"/>
  <c r="D299"/>
  <c r="D269"/>
  <c r="D324"/>
  <c r="D117"/>
  <c r="D173"/>
  <c r="D230"/>
  <c r="D250"/>
  <c r="D258"/>
  <c r="D313"/>
  <c r="D160"/>
  <c r="D322"/>
  <c r="D264"/>
  <c r="D285"/>
  <c r="D183"/>
  <c r="D260"/>
  <c r="D283"/>
  <c r="D79"/>
  <c r="D154"/>
  <c r="D265"/>
  <c r="D208"/>
  <c r="D310"/>
  <c r="D95"/>
  <c r="D225"/>
  <c r="D168"/>
  <c r="D277"/>
  <c r="D246"/>
  <c r="D293"/>
  <c r="D281"/>
  <c r="D218"/>
  <c r="D252"/>
  <c r="D278"/>
  <c r="D256"/>
  <c r="D120"/>
  <c r="D271"/>
  <c r="D147"/>
  <c r="D232"/>
  <c r="D317"/>
  <c r="D126"/>
  <c r="D286"/>
  <c r="D340"/>
  <c r="D149"/>
  <c r="D331"/>
  <c r="D343"/>
  <c r="D259"/>
  <c r="D384"/>
  <c r="D262"/>
  <c r="D161"/>
  <c r="D240"/>
  <c r="D300"/>
  <c r="D190"/>
  <c r="D261"/>
  <c r="D237"/>
  <c r="D279"/>
  <c r="D110"/>
  <c r="D241"/>
  <c r="D235"/>
  <c r="D303"/>
  <c r="D176"/>
  <c r="D182"/>
  <c r="D195"/>
  <c r="D175"/>
  <c r="D224"/>
  <c r="D272"/>
  <c r="D135"/>
  <c r="D255"/>
  <c r="D98"/>
  <c r="D228"/>
  <c r="D245"/>
  <c r="D177"/>
  <c r="D254"/>
  <c r="D197"/>
  <c r="D166"/>
  <c r="D153"/>
  <c r="D203"/>
  <c r="D89"/>
  <c r="D204"/>
  <c r="D188"/>
  <c r="D162"/>
  <c r="D202"/>
  <c r="D140"/>
  <c r="D238"/>
  <c r="D213"/>
  <c r="D198"/>
  <c r="D216"/>
  <c r="D181"/>
  <c r="D267"/>
  <c r="D128"/>
  <c r="D136"/>
  <c r="D274"/>
  <c r="D102"/>
  <c r="D206"/>
  <c r="D131"/>
  <c r="D221"/>
  <c r="D144"/>
  <c r="D171"/>
  <c r="D179"/>
  <c r="D156"/>
  <c r="D138"/>
  <c r="D107"/>
  <c r="D180"/>
  <c r="D295"/>
  <c r="D99"/>
  <c r="D273"/>
  <c r="D139"/>
  <c r="D193"/>
  <c r="D108"/>
  <c r="D172"/>
  <c r="D133"/>
  <c r="D123"/>
  <c r="D86"/>
  <c r="D114"/>
  <c r="D163"/>
  <c r="D276"/>
  <c r="D205"/>
  <c r="D148"/>
  <c r="D145"/>
  <c r="D251"/>
  <c r="D151"/>
  <c r="D146"/>
  <c r="D158"/>
  <c r="D80"/>
  <c r="D185"/>
  <c r="D84"/>
  <c r="D169"/>
  <c r="D150"/>
  <c r="D152"/>
  <c r="D194"/>
  <c r="D223"/>
  <c r="D122"/>
  <c r="D210"/>
  <c r="D170"/>
  <c r="D157"/>
  <c r="D69"/>
  <c r="D60"/>
  <c r="D87"/>
  <c r="D81"/>
  <c r="D143"/>
  <c r="D109"/>
  <c r="D134"/>
  <c r="D155"/>
  <c r="D132"/>
  <c r="D106"/>
  <c r="D130"/>
  <c r="D200"/>
  <c r="D124"/>
  <c r="D104"/>
  <c r="D137"/>
  <c r="D112"/>
  <c r="D164"/>
  <c r="D58"/>
  <c r="D75"/>
  <c r="D118"/>
  <c r="D111"/>
  <c r="D115"/>
  <c r="D83"/>
  <c r="D159"/>
  <c r="D100"/>
  <c r="D129"/>
  <c r="D72"/>
  <c r="D88"/>
  <c r="D66"/>
  <c r="D97"/>
  <c r="D119"/>
  <c r="D121"/>
  <c r="D76"/>
  <c r="D93"/>
  <c r="D103"/>
  <c r="D94"/>
  <c r="D63"/>
  <c r="D62"/>
  <c r="D70"/>
  <c r="D125"/>
  <c r="D174"/>
  <c r="D77"/>
  <c r="D96"/>
  <c r="D59"/>
  <c r="D82"/>
  <c r="D101"/>
  <c r="D71"/>
  <c r="D105"/>
  <c r="D33"/>
  <c r="D65"/>
  <c r="D92"/>
  <c r="D54"/>
  <c r="D91"/>
  <c r="D53"/>
  <c r="D90"/>
  <c r="D73"/>
  <c r="D78"/>
  <c r="D113"/>
  <c r="D61"/>
  <c r="D56"/>
  <c r="D51"/>
  <c r="D19"/>
  <c r="D46"/>
  <c r="D48"/>
  <c r="D49"/>
  <c r="D74"/>
  <c r="D42"/>
  <c r="D55"/>
  <c r="D21"/>
  <c r="D68"/>
  <c r="D64"/>
  <c r="D47"/>
  <c r="D67"/>
  <c r="D57"/>
  <c r="D37"/>
  <c r="D39"/>
  <c r="D41"/>
  <c r="D14"/>
  <c r="D45"/>
  <c r="D30"/>
  <c r="D44"/>
  <c r="D16"/>
  <c r="D43"/>
  <c r="D38"/>
  <c r="D17"/>
  <c r="D27"/>
  <c r="D50"/>
  <c r="D36"/>
  <c r="D32"/>
  <c r="D35"/>
  <c r="D25"/>
  <c r="D18"/>
  <c r="D34"/>
  <c r="D31"/>
  <c r="D52"/>
  <c r="D40"/>
  <c r="D28"/>
  <c r="D9"/>
  <c r="D20"/>
  <c r="D29"/>
  <c r="D22"/>
  <c r="D23"/>
  <c r="D26"/>
  <c r="D10"/>
  <c r="D24"/>
  <c r="D7"/>
  <c r="D15"/>
  <c r="D13"/>
  <c r="D12"/>
  <c r="D11"/>
  <c r="D6"/>
  <c r="D8"/>
  <c r="D5"/>
  <c r="D4"/>
  <c r="D3"/>
  <c r="D2"/>
  <c r="A3" i="15"/>
  <c r="A2"/>
  <c r="A7824" i="13" l="1"/>
  <c r="B7823"/>
  <c r="A7823"/>
  <c r="B7822"/>
  <c r="A7822"/>
  <c r="B7821"/>
  <c r="A7821"/>
  <c r="B7820"/>
  <c r="A7820"/>
  <c r="B7819"/>
  <c r="A7819"/>
  <c r="B7818"/>
  <c r="A7818"/>
  <c r="B7817"/>
  <c r="A7817"/>
  <c r="B7816"/>
  <c r="A7816"/>
  <c r="B7815"/>
  <c r="A7815"/>
  <c r="B7814"/>
  <c r="A7814"/>
  <c r="B7813"/>
  <c r="A7813"/>
  <c r="B7812"/>
  <c r="A7812"/>
  <c r="B7811"/>
  <c r="A7811"/>
  <c r="B7810"/>
  <c r="A7810"/>
  <c r="B7809"/>
  <c r="A7809"/>
  <c r="B7808"/>
  <c r="A7808"/>
  <c r="B7807"/>
  <c r="A7807"/>
  <c r="B7806"/>
  <c r="A7806"/>
  <c r="B7805"/>
  <c r="A7805"/>
  <c r="B7804"/>
  <c r="A7804"/>
  <c r="B7803"/>
  <c r="A7803"/>
  <c r="B7802"/>
  <c r="A7802"/>
  <c r="B7801"/>
  <c r="A7801"/>
  <c r="B7800"/>
  <c r="A7800"/>
  <c r="B7799"/>
  <c r="A7799"/>
  <c r="B7798"/>
  <c r="A7798"/>
  <c r="B7797"/>
  <c r="A7797"/>
  <c r="B7796"/>
  <c r="A7796"/>
  <c r="B7795"/>
  <c r="A7795"/>
  <c r="B7794"/>
  <c r="A7794"/>
  <c r="B7793"/>
  <c r="A7793"/>
  <c r="B7792"/>
  <c r="A7792"/>
  <c r="B7791"/>
  <c r="A7791"/>
  <c r="B7790"/>
  <c r="A7790"/>
  <c r="B7789"/>
  <c r="A7789"/>
  <c r="B7788"/>
  <c r="A7788"/>
  <c r="B7787"/>
  <c r="A7787"/>
  <c r="B7786"/>
  <c r="A7786"/>
  <c r="B7785"/>
  <c r="A7785"/>
  <c r="B7784"/>
  <c r="A7784"/>
  <c r="B7783"/>
  <c r="A7783"/>
  <c r="B7782"/>
  <c r="A7782"/>
  <c r="B7781"/>
  <c r="A7781"/>
  <c r="B7780"/>
  <c r="A7780"/>
  <c r="B7779"/>
  <c r="A7779"/>
  <c r="B7778"/>
  <c r="A7778"/>
  <c r="B7777"/>
  <c r="A7777"/>
  <c r="B7776"/>
  <c r="A7776"/>
  <c r="B7775"/>
  <c r="A7775"/>
  <c r="B7774"/>
  <c r="A7774"/>
  <c r="B7773"/>
  <c r="A7773"/>
  <c r="B7772"/>
  <c r="A7772"/>
  <c r="B7771"/>
  <c r="A7771"/>
  <c r="B7770"/>
  <c r="A7770"/>
  <c r="B7769"/>
  <c r="A7769"/>
  <c r="B7768"/>
  <c r="A7768"/>
  <c r="B7767"/>
  <c r="A7767"/>
  <c r="B7766"/>
  <c r="A7766"/>
  <c r="B7765"/>
  <c r="A7765"/>
  <c r="B7764"/>
  <c r="A7764"/>
  <c r="B7763"/>
  <c r="A7763"/>
  <c r="B7762"/>
  <c r="A7762"/>
  <c r="B7761"/>
  <c r="A7761"/>
  <c r="B7760"/>
  <c r="A7760"/>
  <c r="B7759"/>
  <c r="A7759"/>
  <c r="B7758"/>
  <c r="A7758"/>
  <c r="B7757"/>
  <c r="A7757"/>
  <c r="B7756"/>
  <c r="A7756"/>
  <c r="B7755"/>
  <c r="A7755"/>
  <c r="B7754"/>
  <c r="A7754"/>
  <c r="B7753"/>
  <c r="A7753"/>
  <c r="B7752"/>
  <c r="A7752"/>
  <c r="B7751"/>
  <c r="A7751"/>
  <c r="B7750"/>
  <c r="A7750"/>
  <c r="B7749"/>
  <c r="A7749"/>
  <c r="B7748"/>
  <c r="A7748"/>
  <c r="B7747"/>
  <c r="A7747"/>
  <c r="B7746"/>
  <c r="A7746"/>
  <c r="B7745"/>
  <c r="A7745"/>
  <c r="B7744"/>
  <c r="A7744"/>
  <c r="B7743"/>
  <c r="A7743"/>
  <c r="B7742"/>
  <c r="A7742"/>
  <c r="B7741"/>
  <c r="A7741"/>
  <c r="B7740"/>
  <c r="A7740"/>
  <c r="B7739"/>
  <c r="A7739"/>
  <c r="B7738"/>
  <c r="A7738"/>
  <c r="B7737"/>
  <c r="A7737"/>
  <c r="B7736"/>
  <c r="A7736"/>
  <c r="B7735"/>
  <c r="A7735"/>
  <c r="B7734"/>
  <c r="A7734"/>
  <c r="B7733"/>
  <c r="A7733"/>
  <c r="B7732"/>
  <c r="A7732"/>
  <c r="B7731"/>
  <c r="A7731"/>
  <c r="B7730"/>
  <c r="A7730"/>
  <c r="B7729"/>
  <c r="A7729"/>
  <c r="B7728"/>
  <c r="A7728"/>
  <c r="B7727"/>
  <c r="A7727"/>
  <c r="B7726"/>
  <c r="A7726"/>
  <c r="B7725"/>
  <c r="A7725"/>
  <c r="B7724"/>
  <c r="A7724"/>
  <c r="B7723"/>
  <c r="A7723"/>
  <c r="B7722"/>
  <c r="A7722"/>
  <c r="B7721"/>
  <c r="A7721"/>
  <c r="B7720"/>
  <c r="A7720"/>
  <c r="B7719"/>
  <c r="A7719"/>
  <c r="B7718"/>
  <c r="A7718"/>
  <c r="B7717"/>
  <c r="A7717"/>
  <c r="B7716"/>
  <c r="A7716"/>
  <c r="B7715"/>
  <c r="A7715"/>
  <c r="B7714"/>
  <c r="A7714"/>
  <c r="B7713"/>
  <c r="A7713"/>
  <c r="B7712"/>
  <c r="A7712"/>
  <c r="B7711"/>
  <c r="A7711"/>
  <c r="B7710"/>
  <c r="A7710"/>
  <c r="B7709"/>
  <c r="A7709"/>
  <c r="B7708"/>
  <c r="A7708"/>
  <c r="B7707"/>
  <c r="A7707"/>
  <c r="B7706"/>
  <c r="A7706"/>
  <c r="B7705"/>
  <c r="A7705"/>
  <c r="B7704"/>
  <c r="A7704"/>
  <c r="B7703"/>
  <c r="A7703"/>
  <c r="B7702"/>
  <c r="A7702"/>
  <c r="B7701"/>
  <c r="A7701"/>
  <c r="B7700"/>
  <c r="A7700"/>
  <c r="B7699"/>
  <c r="A7699"/>
  <c r="B7698"/>
  <c r="A7698"/>
  <c r="B7697"/>
  <c r="A7697"/>
  <c r="B7696"/>
  <c r="A7696"/>
  <c r="B7695"/>
  <c r="A7695"/>
  <c r="B7694"/>
  <c r="A7694"/>
  <c r="B7693"/>
  <c r="A7693"/>
  <c r="B7692"/>
  <c r="A7692"/>
  <c r="B7691"/>
  <c r="A7691"/>
  <c r="B7690"/>
  <c r="A7690"/>
  <c r="B7689"/>
  <c r="A7689"/>
  <c r="B7688"/>
  <c r="A7688"/>
  <c r="B7687"/>
  <c r="A7687"/>
  <c r="B7686"/>
  <c r="A7686"/>
  <c r="B7685"/>
  <c r="A7685"/>
  <c r="B7684"/>
  <c r="A7684"/>
  <c r="B7683"/>
  <c r="A7683"/>
  <c r="B7682"/>
  <c r="A7682"/>
  <c r="B7681"/>
  <c r="A7681"/>
  <c r="B7680"/>
  <c r="A7680"/>
  <c r="B7679"/>
  <c r="A7679"/>
  <c r="B7678"/>
  <c r="A7678"/>
  <c r="B7677"/>
  <c r="A7677"/>
  <c r="B7676"/>
  <c r="A7676"/>
  <c r="B7675"/>
  <c r="A7675"/>
  <c r="B7674"/>
  <c r="A7674"/>
  <c r="B7673"/>
  <c r="A7673"/>
  <c r="B7672"/>
  <c r="A7672"/>
  <c r="B7671"/>
  <c r="A7671"/>
  <c r="B7670"/>
  <c r="A7670"/>
  <c r="B7669"/>
  <c r="A7669"/>
  <c r="B7668"/>
  <c r="A7668"/>
  <c r="B7667"/>
  <c r="A7667"/>
  <c r="B7666"/>
  <c r="A7666"/>
  <c r="B7665"/>
  <c r="A7665"/>
  <c r="B7664"/>
  <c r="A7664"/>
  <c r="B7663"/>
  <c r="A7663"/>
  <c r="B7662"/>
  <c r="A7662"/>
  <c r="B7661"/>
  <c r="A7661"/>
  <c r="B7660"/>
  <c r="A7660"/>
  <c r="B7659"/>
  <c r="A7659"/>
  <c r="B7658"/>
  <c r="A7658"/>
  <c r="B7657"/>
  <c r="A7657"/>
  <c r="B7656"/>
  <c r="A7656"/>
  <c r="B7655"/>
  <c r="A7655"/>
  <c r="B7654"/>
  <c r="A7654"/>
  <c r="B7653"/>
  <c r="A7653"/>
  <c r="B7652"/>
  <c r="A7652"/>
  <c r="B7651"/>
  <c r="A7651"/>
  <c r="B7650"/>
  <c r="A7650"/>
  <c r="B7649"/>
  <c r="A7649"/>
  <c r="B7648"/>
  <c r="A7648"/>
  <c r="B7647"/>
  <c r="A7647"/>
  <c r="B7646"/>
  <c r="A7646"/>
  <c r="B7645"/>
  <c r="A7645"/>
  <c r="B7644"/>
  <c r="A7644"/>
  <c r="B7643"/>
  <c r="A7643"/>
  <c r="B7642"/>
  <c r="A7642"/>
  <c r="B7641"/>
  <c r="A7641"/>
  <c r="B7640"/>
  <c r="A7640"/>
  <c r="B7639"/>
  <c r="A7639"/>
  <c r="B7638"/>
  <c r="A7638"/>
  <c r="B7637"/>
  <c r="A7637"/>
  <c r="B7636"/>
  <c r="A7636"/>
  <c r="B7635"/>
  <c r="A7635"/>
  <c r="B7634"/>
  <c r="A7634"/>
  <c r="B7633"/>
  <c r="A7633"/>
  <c r="B7632"/>
  <c r="A7632"/>
  <c r="B7631"/>
  <c r="A7631"/>
  <c r="B7630"/>
  <c r="A7630"/>
  <c r="B7629"/>
  <c r="A7629"/>
  <c r="B7628"/>
  <c r="A7628"/>
  <c r="B7627"/>
  <c r="A7627"/>
  <c r="B7626"/>
  <c r="A7626"/>
  <c r="B7625"/>
  <c r="A7625"/>
  <c r="B7624"/>
  <c r="A7624"/>
  <c r="B7623"/>
  <c r="A7623"/>
  <c r="B7622"/>
  <c r="A7622"/>
  <c r="B7621"/>
  <c r="A7621"/>
  <c r="B7620"/>
  <c r="A7620"/>
  <c r="B7619"/>
  <c r="A7619"/>
  <c r="B7618"/>
  <c r="A7618"/>
  <c r="B7617"/>
  <c r="A7617"/>
  <c r="B7616"/>
  <c r="A7616"/>
  <c r="B7615"/>
  <c r="A7615"/>
  <c r="B7614"/>
  <c r="A7614"/>
  <c r="B7613"/>
  <c r="A7613"/>
  <c r="B7612"/>
  <c r="A7612"/>
  <c r="B7611"/>
  <c r="A7611"/>
  <c r="B7610"/>
  <c r="A7610"/>
  <c r="B7609"/>
  <c r="A7609"/>
  <c r="B7608"/>
  <c r="A7608"/>
  <c r="B7607"/>
  <c r="A7607"/>
  <c r="B7606"/>
  <c r="A7606"/>
  <c r="B7605"/>
  <c r="A7605"/>
  <c r="B7604"/>
  <c r="A7604"/>
  <c r="B7603"/>
  <c r="A7603"/>
  <c r="B7602"/>
  <c r="A7602"/>
  <c r="B7601"/>
  <c r="A7601"/>
  <c r="B7600"/>
  <c r="A7600"/>
  <c r="B7599"/>
  <c r="A7599"/>
  <c r="B7598"/>
  <c r="A7598"/>
  <c r="B7597"/>
  <c r="A7597"/>
  <c r="B7596"/>
  <c r="A7596"/>
  <c r="B7595"/>
  <c r="A7595"/>
  <c r="B7594"/>
  <c r="A7594"/>
  <c r="B7593"/>
  <c r="A7593"/>
  <c r="B7592"/>
  <c r="A7592"/>
  <c r="B7591"/>
  <c r="A7591"/>
  <c r="B7590"/>
  <c r="A7590"/>
  <c r="B7589"/>
  <c r="A7589"/>
  <c r="B7588"/>
  <c r="A7588"/>
  <c r="B7587"/>
  <c r="A7587"/>
  <c r="B7586"/>
  <c r="A7586"/>
  <c r="B7585"/>
  <c r="A7585"/>
  <c r="B7584"/>
  <c r="A7584"/>
  <c r="B7583"/>
  <c r="A7583"/>
  <c r="B7582"/>
  <c r="A7582"/>
  <c r="B7581"/>
  <c r="A7581"/>
  <c r="B7580"/>
  <c r="A7580"/>
  <c r="B7579"/>
  <c r="A7579"/>
  <c r="B7578"/>
  <c r="A7578"/>
  <c r="B7577"/>
  <c r="A7577"/>
  <c r="B7576"/>
  <c r="A7576"/>
  <c r="B7575"/>
  <c r="A7575"/>
  <c r="B7574"/>
  <c r="A7574"/>
  <c r="B7573"/>
  <c r="A7573"/>
  <c r="B7572"/>
  <c r="A7572"/>
  <c r="B7571"/>
  <c r="A7571"/>
  <c r="B7570"/>
  <c r="A7570"/>
  <c r="B7569"/>
  <c r="A7569"/>
  <c r="B7568"/>
  <c r="A7568"/>
  <c r="B7567"/>
  <c r="A7567"/>
  <c r="B7566"/>
  <c r="A7566"/>
  <c r="B7565"/>
  <c r="A7565"/>
  <c r="B7564"/>
  <c r="A7564"/>
  <c r="B7563"/>
  <c r="A7563"/>
  <c r="B7562"/>
  <c r="A7562"/>
  <c r="B7561"/>
  <c r="A7561"/>
  <c r="B7560"/>
  <c r="A7560"/>
  <c r="B7559"/>
  <c r="A7559"/>
  <c r="B7558"/>
  <c r="A7558"/>
  <c r="B7557"/>
  <c r="A7557"/>
  <c r="B7556"/>
  <c r="A7556"/>
  <c r="B7555"/>
  <c r="A7555"/>
  <c r="B7554"/>
  <c r="A7554"/>
  <c r="B7553"/>
  <c r="A7553"/>
  <c r="B7552"/>
  <c r="A7552"/>
  <c r="B7551"/>
  <c r="A7551"/>
  <c r="B7550"/>
  <c r="A7550"/>
  <c r="B7549"/>
  <c r="A7549"/>
  <c r="B7548"/>
  <c r="A7548"/>
  <c r="B7547"/>
  <c r="A7547"/>
  <c r="B7546"/>
  <c r="A7546"/>
  <c r="B7545"/>
  <c r="A7545"/>
  <c r="B7544"/>
  <c r="A7544"/>
  <c r="B7543"/>
  <c r="A7543"/>
  <c r="B7542"/>
  <c r="A7542"/>
  <c r="B7541"/>
  <c r="A7541"/>
  <c r="B7540"/>
  <c r="A7540"/>
  <c r="B7539"/>
  <c r="A7539"/>
  <c r="B7538"/>
  <c r="A7538"/>
  <c r="B7537"/>
  <c r="A7537"/>
  <c r="B7536"/>
  <c r="A7536"/>
  <c r="B7535"/>
  <c r="A7535"/>
  <c r="B7534"/>
  <c r="A7534"/>
  <c r="B7533"/>
  <c r="A7533"/>
  <c r="B7532"/>
  <c r="A7532"/>
  <c r="B7531"/>
  <c r="A7531"/>
  <c r="B7530"/>
  <c r="A7530"/>
  <c r="B7529"/>
  <c r="A7529"/>
  <c r="B7528"/>
  <c r="A7528"/>
  <c r="B7527"/>
  <c r="A7527"/>
  <c r="B7526"/>
  <c r="A7526"/>
  <c r="B7525"/>
  <c r="A7525"/>
  <c r="B7524"/>
  <c r="A7524"/>
  <c r="B7523"/>
  <c r="A7523"/>
  <c r="B7522"/>
  <c r="A7522"/>
  <c r="B7521"/>
  <c r="A7521"/>
  <c r="B7520"/>
  <c r="A7520"/>
  <c r="B7519"/>
  <c r="A7519"/>
  <c r="B7518"/>
  <c r="A7518"/>
  <c r="B7517"/>
  <c r="A7517"/>
  <c r="B7516"/>
  <c r="A7516"/>
  <c r="B7515"/>
  <c r="A7515"/>
  <c r="B7514"/>
  <c r="A7514"/>
  <c r="B7513"/>
  <c r="A7513"/>
  <c r="B7512"/>
  <c r="A7512"/>
  <c r="B7511"/>
  <c r="A7511"/>
  <c r="B7510"/>
  <c r="A7510"/>
  <c r="B7509"/>
  <c r="A7509"/>
  <c r="B7508"/>
  <c r="A7508"/>
  <c r="B7507"/>
  <c r="A7507"/>
  <c r="B7506"/>
  <c r="A7506"/>
  <c r="B7505"/>
  <c r="A7505"/>
  <c r="B7504"/>
  <c r="A7504"/>
  <c r="B7503"/>
  <c r="A7503"/>
  <c r="B7502"/>
  <c r="A7502"/>
  <c r="B7501"/>
  <c r="A7501"/>
  <c r="B7500"/>
  <c r="A7500"/>
  <c r="B7499"/>
  <c r="A7499"/>
  <c r="B7498"/>
  <c r="A7498"/>
  <c r="B7497"/>
  <c r="A7497"/>
  <c r="B7496"/>
  <c r="A7496"/>
  <c r="B7495"/>
  <c r="A7495"/>
  <c r="B7494"/>
  <c r="A7494"/>
  <c r="B7493"/>
  <c r="A7493"/>
  <c r="B7492"/>
  <c r="A7492"/>
  <c r="B7491"/>
  <c r="A7491"/>
  <c r="B7490"/>
  <c r="A7490"/>
  <c r="B7489"/>
  <c r="A7489"/>
  <c r="B7488"/>
  <c r="A7488"/>
  <c r="B7487"/>
  <c r="A7487"/>
  <c r="B7486"/>
  <c r="A7486"/>
  <c r="B7485"/>
  <c r="A7485"/>
  <c r="B7484"/>
  <c r="A7484"/>
  <c r="B7483"/>
  <c r="A7483"/>
  <c r="B7482"/>
  <c r="A7482"/>
  <c r="B7481"/>
  <c r="A7481"/>
  <c r="B7480"/>
  <c r="A7480"/>
  <c r="B7479"/>
  <c r="A7479"/>
  <c r="B7478"/>
  <c r="A7478"/>
  <c r="B7477"/>
  <c r="A7477"/>
  <c r="B7476"/>
  <c r="A7476"/>
  <c r="B7475"/>
  <c r="A7475"/>
  <c r="B7474"/>
  <c r="A7474"/>
  <c r="B7473"/>
  <c r="A7473"/>
  <c r="B7472"/>
  <c r="A7472"/>
  <c r="B7471"/>
  <c r="A7471"/>
  <c r="B7470"/>
  <c r="A7470"/>
  <c r="B7469"/>
  <c r="A7469"/>
  <c r="B7468"/>
  <c r="A7468"/>
  <c r="B7467"/>
  <c r="A7467"/>
  <c r="B7466"/>
  <c r="A7466"/>
  <c r="B7465"/>
  <c r="A7465"/>
  <c r="B7464"/>
  <c r="A7464"/>
  <c r="B7463"/>
  <c r="A7463"/>
  <c r="B7462"/>
  <c r="A7462"/>
  <c r="B7461"/>
  <c r="A7461"/>
  <c r="B7460"/>
  <c r="A7460"/>
  <c r="B7459"/>
  <c r="A7459"/>
  <c r="B7458"/>
  <c r="A7458"/>
  <c r="B7457"/>
  <c r="A7457"/>
  <c r="B7456"/>
  <c r="A7456"/>
  <c r="B7455"/>
  <c r="A7455"/>
  <c r="B7454"/>
  <c r="A7454"/>
  <c r="B7453"/>
  <c r="A7453"/>
  <c r="B7452"/>
  <c r="A7452"/>
  <c r="B7451"/>
  <c r="A7451"/>
  <c r="B7450"/>
  <c r="A7450"/>
  <c r="B7449"/>
  <c r="A7449"/>
  <c r="B7448"/>
  <c r="A7448"/>
  <c r="B7447"/>
  <c r="A7447"/>
  <c r="B7446"/>
  <c r="A7446"/>
  <c r="B7445"/>
  <c r="A7445"/>
  <c r="B7444"/>
  <c r="A7444"/>
  <c r="B7443"/>
  <c r="A7443"/>
  <c r="B7442"/>
  <c r="A7442"/>
  <c r="B7441"/>
  <c r="A7441"/>
  <c r="B7440"/>
  <c r="A7440"/>
  <c r="B7439"/>
  <c r="A7439"/>
  <c r="B7438"/>
  <c r="A7438"/>
  <c r="B7437"/>
  <c r="A7437"/>
  <c r="B7436"/>
  <c r="A7436"/>
  <c r="B7435"/>
  <c r="A7435"/>
  <c r="B7434"/>
  <c r="A7434"/>
  <c r="B7433"/>
  <c r="A7433"/>
  <c r="B7432"/>
  <c r="A7432"/>
  <c r="B7431"/>
  <c r="A7431"/>
  <c r="B7430"/>
  <c r="A7430"/>
  <c r="B7429"/>
  <c r="A7429"/>
  <c r="B7428"/>
  <c r="A7428"/>
  <c r="B7427"/>
  <c r="A7427"/>
  <c r="B7426"/>
  <c r="A7426"/>
  <c r="B7425"/>
  <c r="A7425"/>
  <c r="B7424"/>
  <c r="A7424"/>
  <c r="B7423"/>
  <c r="A7423"/>
  <c r="B7422"/>
  <c r="A7422"/>
  <c r="B7421"/>
  <c r="A7421"/>
  <c r="B7420"/>
  <c r="A7420"/>
  <c r="B7419"/>
  <c r="A7419"/>
  <c r="B7418"/>
  <c r="A7418"/>
  <c r="B7417"/>
  <c r="A7417"/>
  <c r="B7416"/>
  <c r="A7416"/>
  <c r="B7415"/>
  <c r="A7415"/>
  <c r="B7414"/>
  <c r="A7414"/>
  <c r="B7413"/>
  <c r="A7413"/>
  <c r="B7412"/>
  <c r="A7412"/>
  <c r="B7411"/>
  <c r="A7411"/>
  <c r="B7410"/>
  <c r="A7410"/>
  <c r="B7409"/>
  <c r="A7409"/>
  <c r="B7408"/>
  <c r="A7408"/>
  <c r="B7407"/>
  <c r="A7407"/>
  <c r="B7406"/>
  <c r="A7406"/>
  <c r="B7405"/>
  <c r="A7405"/>
  <c r="B7404"/>
  <c r="A7404"/>
  <c r="B7403"/>
  <c r="A7403"/>
  <c r="B7402"/>
  <c r="A7402"/>
  <c r="B7401"/>
  <c r="A7401"/>
  <c r="B7400"/>
  <c r="A7400"/>
  <c r="B7399"/>
  <c r="A7399"/>
  <c r="B7398"/>
  <c r="A7398"/>
  <c r="B7397"/>
  <c r="A7397"/>
  <c r="B7396"/>
  <c r="A7396"/>
  <c r="B7395"/>
  <c r="A7395"/>
  <c r="B7394"/>
  <c r="A7394"/>
  <c r="B7393"/>
  <c r="A7393"/>
  <c r="B7392"/>
  <c r="A7392"/>
  <c r="B7391"/>
  <c r="A7391"/>
  <c r="B7390"/>
  <c r="A7390"/>
  <c r="B7389"/>
  <c r="A7389"/>
  <c r="B7388"/>
  <c r="A7388"/>
  <c r="B7387"/>
  <c r="A7387"/>
  <c r="B7386"/>
  <c r="A7386"/>
  <c r="B7385"/>
  <c r="A7385"/>
  <c r="B7384"/>
  <c r="A7384"/>
  <c r="B7383"/>
  <c r="A7383"/>
  <c r="B7382"/>
  <c r="A7382"/>
  <c r="B7381"/>
  <c r="A7381"/>
  <c r="B7380"/>
  <c r="A7380"/>
  <c r="B7379"/>
  <c r="A7379"/>
  <c r="B7378"/>
  <c r="A7378"/>
  <c r="B7377"/>
  <c r="A7377"/>
  <c r="B7376"/>
  <c r="A7376"/>
  <c r="B7375"/>
  <c r="A7375"/>
  <c r="B7374"/>
  <c r="A7374"/>
  <c r="B7373"/>
  <c r="A7373"/>
  <c r="B7372"/>
  <c r="A7372"/>
  <c r="B7371"/>
  <c r="A7371"/>
  <c r="B7370"/>
  <c r="A7370"/>
  <c r="B7369"/>
  <c r="A7369"/>
  <c r="B7368"/>
  <c r="A7368"/>
  <c r="B7367"/>
  <c r="A7367"/>
  <c r="B7366"/>
  <c r="A7366"/>
  <c r="B7365"/>
  <c r="A7365"/>
  <c r="B7364"/>
  <c r="A7364"/>
  <c r="B7363"/>
  <c r="A7363"/>
  <c r="B7362"/>
  <c r="A7362"/>
  <c r="B7361"/>
  <c r="A7361"/>
  <c r="B7360"/>
  <c r="A7360"/>
  <c r="B7359"/>
  <c r="A7359"/>
  <c r="B7358"/>
  <c r="A7358"/>
  <c r="B7357"/>
  <c r="A7357"/>
  <c r="B7356"/>
  <c r="A7356"/>
  <c r="B7355"/>
  <c r="A7355"/>
  <c r="B7354"/>
  <c r="A7354"/>
  <c r="B7353"/>
  <c r="A7353"/>
  <c r="B7352"/>
  <c r="A7352"/>
  <c r="B7351"/>
  <c r="A7351"/>
  <c r="B7350"/>
  <c r="A7350"/>
  <c r="B7349"/>
  <c r="A7349"/>
  <c r="B7348"/>
  <c r="A7348"/>
  <c r="B7347"/>
  <c r="A7347"/>
  <c r="B7346"/>
  <c r="A7346"/>
  <c r="B7345"/>
  <c r="A7345"/>
  <c r="B7344"/>
  <c r="A7344"/>
  <c r="B7343"/>
  <c r="A7343"/>
  <c r="B7342"/>
  <c r="A7342"/>
  <c r="B7341"/>
  <c r="A7341"/>
  <c r="B7340"/>
  <c r="A7340"/>
  <c r="B7339"/>
  <c r="A7339"/>
  <c r="B7338"/>
  <c r="A7338"/>
  <c r="B7337"/>
  <c r="A7337"/>
  <c r="B7336"/>
  <c r="A7336"/>
  <c r="B7335"/>
  <c r="A7335"/>
  <c r="B7334"/>
  <c r="A7334"/>
  <c r="B7333"/>
  <c r="A7333"/>
  <c r="B7332"/>
  <c r="A7332"/>
  <c r="B7331"/>
  <c r="A7331"/>
  <c r="B7330"/>
  <c r="A7330"/>
  <c r="B7329"/>
  <c r="A7329"/>
  <c r="B7328"/>
  <c r="A7328"/>
  <c r="B7327"/>
  <c r="A7327"/>
  <c r="B7326"/>
  <c r="A7326"/>
  <c r="B7325"/>
  <c r="A7325"/>
  <c r="B7324"/>
  <c r="A7324"/>
  <c r="B7323"/>
  <c r="A7323"/>
  <c r="B7322"/>
  <c r="A7322"/>
  <c r="B7321"/>
  <c r="A7321"/>
  <c r="B7320"/>
  <c r="A7320"/>
  <c r="B7319"/>
  <c r="A7319"/>
  <c r="B7318"/>
  <c r="A7318"/>
  <c r="B7317"/>
  <c r="A7317"/>
  <c r="B7316"/>
  <c r="A7316"/>
  <c r="B7315"/>
  <c r="A7315"/>
  <c r="B7314"/>
  <c r="A7314"/>
  <c r="B7313"/>
  <c r="A7313"/>
  <c r="B7312"/>
  <c r="A7312"/>
  <c r="B7311"/>
  <c r="A7311"/>
  <c r="B7310"/>
  <c r="A7310"/>
  <c r="B7309"/>
  <c r="A7309"/>
  <c r="B7308"/>
  <c r="A7308"/>
  <c r="B7307"/>
  <c r="A7307"/>
  <c r="B7306"/>
  <c r="A7306"/>
  <c r="B7305"/>
  <c r="A7305"/>
  <c r="B7304"/>
  <c r="A7304"/>
  <c r="B7303"/>
  <c r="A7303"/>
  <c r="B7302"/>
  <c r="A7302"/>
  <c r="B7301"/>
  <c r="A7301"/>
  <c r="B7300"/>
  <c r="A7300"/>
  <c r="B7299"/>
  <c r="A7299"/>
  <c r="B7298"/>
  <c r="A7298"/>
  <c r="B7297"/>
  <c r="A7297"/>
  <c r="B7296"/>
  <c r="A7296"/>
  <c r="B7295"/>
  <c r="A7295"/>
  <c r="B7294"/>
  <c r="A7294"/>
  <c r="B7293"/>
  <c r="A7293"/>
  <c r="B7292"/>
  <c r="A7292"/>
  <c r="B7291"/>
  <c r="A7291"/>
  <c r="B7290"/>
  <c r="A7290"/>
  <c r="B7289"/>
  <c r="A7289"/>
  <c r="B7288"/>
  <c r="A7288"/>
  <c r="B7287"/>
  <c r="A7287"/>
  <c r="B7286"/>
  <c r="A7286"/>
  <c r="B7285"/>
  <c r="A7285"/>
  <c r="B7284"/>
  <c r="A7284"/>
  <c r="B7283"/>
  <c r="A7283"/>
  <c r="B7282"/>
  <c r="A7282"/>
  <c r="B7281"/>
  <c r="A7281"/>
  <c r="B7280"/>
  <c r="A7280"/>
  <c r="B7279"/>
  <c r="A7279"/>
  <c r="B7278"/>
  <c r="A7278"/>
  <c r="B7277"/>
  <c r="A7277"/>
  <c r="B7276"/>
  <c r="A7276"/>
  <c r="B7275"/>
  <c r="A7275"/>
  <c r="B7274"/>
  <c r="A7274"/>
  <c r="B7273"/>
  <c r="A7273"/>
  <c r="B7272"/>
  <c r="A7272"/>
  <c r="B7271"/>
  <c r="A7271"/>
  <c r="B7270"/>
  <c r="A7270"/>
  <c r="B7269"/>
  <c r="A7269"/>
  <c r="B7268"/>
  <c r="A7268"/>
  <c r="B7267"/>
  <c r="A7267"/>
  <c r="B7266"/>
  <c r="A7266"/>
  <c r="B7265"/>
  <c r="A7265"/>
  <c r="B7264"/>
  <c r="A7264"/>
  <c r="B7263"/>
  <c r="A7263"/>
  <c r="B7262"/>
  <c r="A7262"/>
  <c r="B7261"/>
  <c r="A7261"/>
  <c r="B7260"/>
  <c r="A7260"/>
  <c r="B7259"/>
  <c r="A7259"/>
  <c r="B7258"/>
  <c r="A7258"/>
  <c r="B7257"/>
  <c r="A7257"/>
  <c r="B7256"/>
  <c r="A7256"/>
  <c r="B7255"/>
  <c r="A7255"/>
  <c r="B7254"/>
  <c r="A7254"/>
  <c r="B7253"/>
  <c r="A7253"/>
  <c r="B7252"/>
  <c r="A7252"/>
  <c r="B7251"/>
  <c r="A7251"/>
  <c r="B7250"/>
  <c r="A7250"/>
  <c r="B7249"/>
  <c r="A7249"/>
  <c r="B7248"/>
  <c r="A7248"/>
  <c r="B7247"/>
  <c r="A7247"/>
  <c r="B7246"/>
  <c r="A7246"/>
  <c r="B7245"/>
  <c r="A7245"/>
  <c r="B7244"/>
  <c r="A7244"/>
  <c r="B7243"/>
  <c r="A7243"/>
  <c r="B7242"/>
  <c r="A7242"/>
  <c r="B7241"/>
  <c r="A7241"/>
  <c r="B7240"/>
  <c r="A7240"/>
  <c r="B7239"/>
  <c r="A7239"/>
  <c r="B7238"/>
  <c r="A7238"/>
  <c r="B7237"/>
  <c r="A7237"/>
  <c r="B7236"/>
  <c r="A7236"/>
  <c r="B7235"/>
  <c r="A7235"/>
  <c r="B7234"/>
  <c r="A7234"/>
  <c r="B7233"/>
  <c r="A7233"/>
  <c r="B7232"/>
  <c r="A7232"/>
  <c r="B7231"/>
  <c r="A7231"/>
  <c r="B7230"/>
  <c r="A7230"/>
  <c r="B7229"/>
  <c r="A7229"/>
  <c r="B7228"/>
  <c r="A7228"/>
  <c r="B7227"/>
  <c r="A7227"/>
  <c r="B7226"/>
  <c r="A7226"/>
  <c r="B7225"/>
  <c r="A7225"/>
  <c r="B7224"/>
  <c r="A7224"/>
  <c r="B7223"/>
  <c r="A7223"/>
  <c r="B7222"/>
  <c r="A7222"/>
  <c r="B7221"/>
  <c r="A7221"/>
  <c r="B7220"/>
  <c r="A7220"/>
  <c r="B7219"/>
  <c r="A7219"/>
  <c r="B7218"/>
  <c r="A7218"/>
  <c r="B7217"/>
  <c r="A7217"/>
  <c r="B7216"/>
  <c r="A7216"/>
  <c r="B7215"/>
  <c r="A7215"/>
  <c r="B7214"/>
  <c r="A7214"/>
  <c r="B7213"/>
  <c r="A7213"/>
  <c r="B7212"/>
  <c r="A7212"/>
  <c r="B7211"/>
  <c r="A7211"/>
  <c r="B7210"/>
  <c r="A7210"/>
  <c r="B7209"/>
  <c r="A7209"/>
  <c r="B7208"/>
  <c r="A7208"/>
  <c r="B7207"/>
  <c r="A7207"/>
  <c r="B7206"/>
  <c r="A7206"/>
  <c r="B7205"/>
  <c r="A7205"/>
  <c r="B7204"/>
  <c r="A7204"/>
  <c r="B7203"/>
  <c r="A7203"/>
  <c r="B7202"/>
  <c r="A7202"/>
  <c r="B7201"/>
  <c r="A7201"/>
  <c r="B7200"/>
  <c r="A7200"/>
  <c r="B7199"/>
  <c r="A7199"/>
  <c r="B7198"/>
  <c r="A7198"/>
  <c r="B7197"/>
  <c r="A7197"/>
  <c r="B7196"/>
  <c r="A7196"/>
  <c r="B7195"/>
  <c r="A7195"/>
  <c r="B7194"/>
  <c r="A7194"/>
  <c r="B7193"/>
  <c r="A7193"/>
  <c r="B7192"/>
  <c r="A7192"/>
  <c r="B7191"/>
  <c r="A7191"/>
  <c r="B7190"/>
  <c r="A7190"/>
  <c r="B7189"/>
  <c r="A7189"/>
  <c r="B7188"/>
  <c r="A7188"/>
  <c r="B7187"/>
  <c r="A7187"/>
  <c r="B7186"/>
  <c r="A7186"/>
  <c r="B7185"/>
  <c r="A7185"/>
  <c r="B7184"/>
  <c r="A7184"/>
  <c r="B7183"/>
  <c r="A7183"/>
  <c r="B7182"/>
  <c r="A7182"/>
  <c r="B7181"/>
  <c r="A7181"/>
  <c r="B7180"/>
  <c r="A7180"/>
  <c r="B7179"/>
  <c r="A7179"/>
  <c r="B7178"/>
  <c r="A7178"/>
  <c r="B7177"/>
  <c r="A7177"/>
  <c r="B7176"/>
  <c r="A7176"/>
  <c r="B7175"/>
  <c r="A7175"/>
  <c r="B7174"/>
  <c r="A7174"/>
  <c r="B7173"/>
  <c r="A7173"/>
  <c r="B7172"/>
  <c r="A7172"/>
  <c r="B7171"/>
  <c r="A7171"/>
  <c r="B7170"/>
  <c r="A7170"/>
  <c r="B7169"/>
  <c r="A7169"/>
  <c r="B7168"/>
  <c r="A7168"/>
  <c r="B7167"/>
  <c r="A7167"/>
  <c r="B7166"/>
  <c r="A7166"/>
  <c r="B7165"/>
  <c r="A7165"/>
  <c r="B7164"/>
  <c r="A7164"/>
  <c r="B7163"/>
  <c r="A7163"/>
  <c r="B7162"/>
  <c r="A7162"/>
  <c r="B7161"/>
  <c r="A7161"/>
  <c r="B7160"/>
  <c r="A7160"/>
  <c r="B7159"/>
  <c r="A7159"/>
  <c r="B7158"/>
  <c r="A7158"/>
  <c r="B7157"/>
  <c r="A7157"/>
  <c r="B7156"/>
  <c r="A7156"/>
  <c r="B7155"/>
  <c r="A7155"/>
  <c r="B7154"/>
  <c r="A7154"/>
  <c r="B7153"/>
  <c r="A7153"/>
  <c r="B7152"/>
  <c r="A7152"/>
  <c r="B7151"/>
  <c r="A7151"/>
  <c r="B7150"/>
  <c r="A7150"/>
  <c r="B7149"/>
  <c r="A7149"/>
  <c r="B7148"/>
  <c r="A7148"/>
  <c r="B7147"/>
  <c r="A7147"/>
  <c r="B7146"/>
  <c r="A7146"/>
  <c r="B7145"/>
  <c r="A7145"/>
  <c r="B7144"/>
  <c r="A7144"/>
  <c r="B7143"/>
  <c r="A7143"/>
  <c r="B7142"/>
  <c r="A7142"/>
  <c r="B7141"/>
  <c r="A7141"/>
  <c r="B7140"/>
  <c r="A7140"/>
  <c r="B7139"/>
  <c r="A7139"/>
  <c r="B7138"/>
  <c r="A7138"/>
  <c r="B7137"/>
  <c r="A7137"/>
  <c r="B7136"/>
  <c r="A7136"/>
  <c r="B7135"/>
  <c r="A7135"/>
  <c r="B7134"/>
  <c r="A7134"/>
  <c r="B7133"/>
  <c r="A7133"/>
  <c r="B7132"/>
  <c r="A7132"/>
  <c r="B7131"/>
  <c r="A7131"/>
  <c r="B7130"/>
  <c r="A7130"/>
  <c r="B7129"/>
  <c r="A7129"/>
  <c r="B7128"/>
  <c r="A7128"/>
  <c r="B7127"/>
  <c r="A7127"/>
  <c r="B7126"/>
  <c r="A7126"/>
  <c r="B7125"/>
  <c r="A7125"/>
  <c r="B7124"/>
  <c r="A7124"/>
  <c r="B7123"/>
  <c r="A7123"/>
  <c r="B7122"/>
  <c r="A7122"/>
  <c r="B7121"/>
  <c r="A7121"/>
  <c r="B7120"/>
  <c r="A7120"/>
  <c r="B7119"/>
  <c r="A7119"/>
  <c r="B7118"/>
  <c r="A7118"/>
  <c r="B7117"/>
  <c r="A7117"/>
  <c r="B7116"/>
  <c r="A7116"/>
  <c r="B7115"/>
  <c r="A7115"/>
  <c r="B7114"/>
  <c r="A7114"/>
  <c r="B7113"/>
  <c r="A7113"/>
  <c r="B7112"/>
  <c r="A7112"/>
  <c r="B7111"/>
  <c r="A7111"/>
  <c r="B7110"/>
  <c r="A7110"/>
  <c r="B7109"/>
  <c r="A7109"/>
  <c r="B7108"/>
  <c r="A7108"/>
  <c r="B7107"/>
  <c r="A7107"/>
  <c r="B7106"/>
  <c r="A7106"/>
  <c r="B7105"/>
  <c r="A7105"/>
  <c r="B7104"/>
  <c r="A7104"/>
  <c r="B7103"/>
  <c r="A7103"/>
  <c r="B7102"/>
  <c r="A7102"/>
  <c r="B7101"/>
  <c r="A7101"/>
  <c r="B7100"/>
  <c r="A7100"/>
  <c r="B7099"/>
  <c r="A7099"/>
  <c r="B7098"/>
  <c r="A7098"/>
  <c r="B7097"/>
  <c r="A7097"/>
  <c r="B7096"/>
  <c r="A7096"/>
  <c r="B7095"/>
  <c r="A7095"/>
  <c r="B7094"/>
  <c r="A7094"/>
  <c r="B7093"/>
  <c r="A7093"/>
  <c r="B7092"/>
  <c r="A7092"/>
  <c r="B7091"/>
  <c r="A7091"/>
  <c r="B7090"/>
  <c r="A7090"/>
  <c r="B7089"/>
  <c r="A7089"/>
  <c r="B7088"/>
  <c r="A7088"/>
  <c r="B7087"/>
  <c r="A7087"/>
  <c r="B7086"/>
  <c r="A7086"/>
  <c r="B7085"/>
  <c r="A7085"/>
  <c r="B7084"/>
  <c r="A7084"/>
  <c r="B7083"/>
  <c r="A7083"/>
  <c r="B7082"/>
  <c r="A7082"/>
  <c r="B7081"/>
  <c r="A7081"/>
  <c r="B7080"/>
  <c r="A7080"/>
  <c r="B7079"/>
  <c r="A7079"/>
  <c r="B7078"/>
  <c r="A7078"/>
  <c r="B7077"/>
  <c r="A7077"/>
  <c r="B7076"/>
  <c r="A7076"/>
  <c r="B7075"/>
  <c r="A7075"/>
  <c r="B7074"/>
  <c r="A7074"/>
  <c r="B7073"/>
  <c r="A7073"/>
  <c r="B7072"/>
  <c r="A7072"/>
  <c r="B7071"/>
  <c r="A7071"/>
  <c r="B7070"/>
  <c r="A7070"/>
  <c r="B7069"/>
  <c r="A7069"/>
  <c r="B7068"/>
  <c r="A7068"/>
  <c r="B7067"/>
  <c r="A7067"/>
  <c r="B7066"/>
  <c r="A7066"/>
  <c r="B7065"/>
  <c r="A7065"/>
  <c r="B7064"/>
  <c r="A7064"/>
  <c r="B7063"/>
  <c r="A7063"/>
  <c r="B7062"/>
  <c r="A7062"/>
  <c r="B7061"/>
  <c r="A7061"/>
  <c r="B7060"/>
  <c r="A7060"/>
  <c r="B7059"/>
  <c r="A7059"/>
  <c r="B7058"/>
  <c r="A7058"/>
  <c r="B7057"/>
  <c r="A7057"/>
  <c r="B7056"/>
  <c r="A7056"/>
  <c r="B7055"/>
  <c r="A7055"/>
  <c r="B7054"/>
  <c r="A7054"/>
  <c r="B7053"/>
  <c r="A7053"/>
  <c r="B7052"/>
  <c r="A7052"/>
  <c r="B7051"/>
  <c r="A7051"/>
  <c r="B7050"/>
  <c r="A7050"/>
  <c r="B7049"/>
  <c r="A7049"/>
  <c r="B7048"/>
  <c r="A7048"/>
  <c r="B7047"/>
  <c r="A7047"/>
  <c r="B7046"/>
  <c r="A7046"/>
  <c r="B7045"/>
  <c r="A7045"/>
  <c r="B7044"/>
  <c r="A7044"/>
  <c r="B7043"/>
  <c r="A7043"/>
  <c r="B7042"/>
  <c r="A7042"/>
  <c r="B7041"/>
  <c r="A7041"/>
  <c r="B7040"/>
  <c r="A7040"/>
  <c r="B7039"/>
  <c r="A7039"/>
  <c r="B7038"/>
  <c r="A7038"/>
  <c r="B7037"/>
  <c r="A7037"/>
  <c r="B7036"/>
  <c r="A7036"/>
  <c r="B7035"/>
  <c r="A7035"/>
  <c r="B7034"/>
  <c r="A7034"/>
  <c r="B7033"/>
  <c r="A7033"/>
  <c r="B7032"/>
  <c r="A7032"/>
  <c r="B7031"/>
  <c r="A7031"/>
  <c r="B7030"/>
  <c r="A7030"/>
  <c r="B7029"/>
  <c r="A7029"/>
  <c r="B7028"/>
  <c r="A7028"/>
  <c r="B7027"/>
  <c r="A7027"/>
  <c r="B7026"/>
  <c r="A7026"/>
  <c r="B7025"/>
  <c r="A7025"/>
  <c r="B7024"/>
  <c r="A7024"/>
  <c r="B7023"/>
  <c r="A7023"/>
  <c r="B7022"/>
  <c r="A7022"/>
  <c r="B7021"/>
  <c r="A7021"/>
  <c r="B7020"/>
  <c r="A7020"/>
  <c r="B7019"/>
  <c r="A7019"/>
  <c r="B7018"/>
  <c r="A7018"/>
  <c r="B7017"/>
  <c r="A7017"/>
  <c r="B7016"/>
  <c r="A7016"/>
  <c r="B7015"/>
  <c r="A7015"/>
  <c r="B7014"/>
  <c r="A7014"/>
  <c r="B7013"/>
  <c r="A7013"/>
  <c r="B7012"/>
  <c r="A7012"/>
  <c r="B7011"/>
  <c r="A7011"/>
  <c r="B7010"/>
  <c r="A7010"/>
  <c r="B7009"/>
  <c r="A7009"/>
  <c r="B7008"/>
  <c r="A7008"/>
  <c r="B7007"/>
  <c r="A7007"/>
  <c r="B7006"/>
  <c r="A7006"/>
  <c r="B7005"/>
  <c r="A7005"/>
  <c r="B7004"/>
  <c r="A7004"/>
  <c r="B7003"/>
  <c r="A7003"/>
  <c r="B7002"/>
  <c r="A7002"/>
  <c r="B7001"/>
  <c r="A7001"/>
  <c r="B7000"/>
  <c r="A7000"/>
  <c r="B6999"/>
  <c r="A6999"/>
  <c r="B6998"/>
  <c r="A6998"/>
  <c r="B6997"/>
  <c r="A6997"/>
  <c r="B6996"/>
  <c r="A6996"/>
  <c r="B6995"/>
  <c r="A6995"/>
  <c r="B6994"/>
  <c r="A6994"/>
  <c r="B6993"/>
  <c r="A6993"/>
  <c r="B6992"/>
  <c r="A6992"/>
  <c r="B6991"/>
  <c r="A6991"/>
  <c r="B6990"/>
  <c r="A6990"/>
  <c r="B6989"/>
  <c r="A6989"/>
  <c r="B6988"/>
  <c r="A6988"/>
  <c r="B6987"/>
  <c r="A6987"/>
  <c r="B6986"/>
  <c r="A6986"/>
  <c r="B6985"/>
  <c r="A6985"/>
  <c r="B6984"/>
  <c r="A6984"/>
  <c r="B6983"/>
  <c r="A6983"/>
  <c r="B6982"/>
  <c r="A6982"/>
  <c r="B6981"/>
  <c r="A6981"/>
  <c r="B6980"/>
  <c r="A6980"/>
  <c r="B6979"/>
  <c r="A6979"/>
  <c r="B6978"/>
  <c r="A6978"/>
  <c r="B6977"/>
  <c r="A6977"/>
  <c r="B6976"/>
  <c r="A6976"/>
  <c r="B6975"/>
  <c r="A6975"/>
  <c r="B6974"/>
  <c r="A6974"/>
  <c r="B6973"/>
  <c r="A6973"/>
  <c r="B6972"/>
  <c r="A6972"/>
  <c r="B6971"/>
  <c r="A6971"/>
  <c r="B6970"/>
  <c r="A6970"/>
  <c r="B6969"/>
  <c r="A6969"/>
  <c r="B6968"/>
  <c r="A6968"/>
  <c r="B6967"/>
  <c r="A6967"/>
  <c r="B6966"/>
  <c r="A6966"/>
  <c r="B6965"/>
  <c r="A6965"/>
  <c r="B6964"/>
  <c r="A6964"/>
  <c r="B6963"/>
  <c r="A6963"/>
  <c r="B6962"/>
  <c r="A6962"/>
  <c r="B6961"/>
  <c r="A6961"/>
  <c r="B6960"/>
  <c r="A6960"/>
  <c r="B6959"/>
  <c r="A6959"/>
  <c r="B6958"/>
  <c r="A6958"/>
  <c r="B6957"/>
  <c r="A6957"/>
  <c r="B6956"/>
  <c r="A6956"/>
  <c r="B6955"/>
  <c r="A6955"/>
  <c r="B6954"/>
  <c r="A6954"/>
  <c r="B6953"/>
  <c r="A6953"/>
  <c r="B6952"/>
  <c r="A6952"/>
  <c r="B6951"/>
  <c r="A6951"/>
  <c r="B6950"/>
  <c r="A6950"/>
  <c r="B6949"/>
  <c r="A6949"/>
  <c r="B6948"/>
  <c r="A6948"/>
  <c r="B6947"/>
  <c r="A6947"/>
  <c r="B6946"/>
  <c r="A6946"/>
  <c r="B6945"/>
  <c r="A6945"/>
  <c r="B6944"/>
  <c r="A6944"/>
  <c r="B6943"/>
  <c r="A6943"/>
  <c r="B6942"/>
  <c r="A6942"/>
  <c r="B6941"/>
  <c r="A6941"/>
  <c r="B6940"/>
  <c r="A6940"/>
  <c r="B6939"/>
  <c r="A6939"/>
  <c r="B6938"/>
  <c r="A6938"/>
  <c r="B6937"/>
  <c r="A6937"/>
  <c r="B6936"/>
  <c r="A6936"/>
  <c r="B6935"/>
  <c r="A6935"/>
  <c r="B6934"/>
  <c r="A6934"/>
  <c r="B6933"/>
  <c r="A6933"/>
  <c r="B6932"/>
  <c r="A6932"/>
  <c r="B6931"/>
  <c r="A6931"/>
  <c r="B6930"/>
  <c r="A6930"/>
  <c r="B6929"/>
  <c r="A6929"/>
  <c r="B6928"/>
  <c r="A6928"/>
  <c r="B6927"/>
  <c r="A6927"/>
  <c r="B6926"/>
  <c r="A6926"/>
  <c r="B6925"/>
  <c r="A6925"/>
  <c r="B6924"/>
  <c r="A6924"/>
  <c r="B6923"/>
  <c r="A6923"/>
  <c r="B6922"/>
  <c r="A6922"/>
  <c r="B6921"/>
  <c r="A6921"/>
  <c r="B6920"/>
  <c r="A6920"/>
  <c r="B6919"/>
  <c r="A6919"/>
  <c r="B6918"/>
  <c r="A6918"/>
  <c r="B6917"/>
  <c r="A6917"/>
  <c r="B6916"/>
  <c r="A6916"/>
  <c r="B6915"/>
  <c r="A6915"/>
  <c r="B6914"/>
  <c r="A6914"/>
  <c r="B6913"/>
  <c r="A6913"/>
  <c r="B6912"/>
  <c r="A6912"/>
  <c r="B6911"/>
  <c r="A6911"/>
  <c r="B6910"/>
  <c r="A6910"/>
  <c r="B6909"/>
  <c r="A6909"/>
  <c r="B6908"/>
  <c r="A6908"/>
  <c r="B6907"/>
  <c r="A6907"/>
  <c r="B6906"/>
  <c r="A6906"/>
  <c r="B6905"/>
  <c r="A6905"/>
  <c r="B6904"/>
  <c r="A6904"/>
  <c r="B6903"/>
  <c r="A6903"/>
  <c r="B6902"/>
  <c r="A6902"/>
  <c r="B6901"/>
  <c r="A6901"/>
  <c r="B6900"/>
  <c r="A6900"/>
  <c r="B6899"/>
  <c r="A6899"/>
  <c r="B6898"/>
  <c r="A6898"/>
  <c r="B6897"/>
  <c r="A6897"/>
  <c r="B6896"/>
  <c r="A6896"/>
  <c r="B6895"/>
  <c r="A6895"/>
  <c r="B6894"/>
  <c r="A6894"/>
  <c r="B6893"/>
  <c r="A6893"/>
  <c r="B6892"/>
  <c r="A6892"/>
  <c r="B6891"/>
  <c r="A6891"/>
  <c r="B6890"/>
  <c r="A6890"/>
  <c r="B6889"/>
  <c r="A6889"/>
  <c r="B6888"/>
  <c r="A6888"/>
  <c r="B6887"/>
  <c r="A6887"/>
  <c r="B6886"/>
  <c r="A6886"/>
  <c r="B6885"/>
  <c r="A6885"/>
  <c r="B6884"/>
  <c r="A6884"/>
  <c r="B6883"/>
  <c r="A6883"/>
  <c r="B6882"/>
  <c r="A6882"/>
  <c r="B6881"/>
  <c r="A6881"/>
  <c r="B6880"/>
  <c r="A6880"/>
  <c r="B6879"/>
  <c r="A6879"/>
  <c r="B6878"/>
  <c r="A6878"/>
  <c r="B6877"/>
  <c r="A6877"/>
  <c r="B6876"/>
  <c r="A6876"/>
  <c r="B6875"/>
  <c r="A6875"/>
  <c r="B6874"/>
  <c r="A6874"/>
  <c r="B6873"/>
  <c r="A6873"/>
  <c r="B6872"/>
  <c r="A6872"/>
  <c r="B6871"/>
  <c r="A6871"/>
  <c r="B6870"/>
  <c r="A6870"/>
  <c r="B6869"/>
  <c r="A6869"/>
  <c r="B6868"/>
  <c r="A6868"/>
  <c r="B6867"/>
  <c r="A6867"/>
  <c r="B6866"/>
  <c r="A6866"/>
  <c r="B6865"/>
  <c r="A6865"/>
  <c r="B6864"/>
  <c r="A6864"/>
  <c r="B6863"/>
  <c r="A6863"/>
  <c r="B6862"/>
  <c r="A6862"/>
  <c r="B6861"/>
  <c r="A6861"/>
  <c r="B6860"/>
  <c r="A6860"/>
  <c r="B6859"/>
  <c r="A6859"/>
  <c r="B6858"/>
  <c r="A6858"/>
  <c r="B6857"/>
  <c r="A6857"/>
  <c r="B6856"/>
  <c r="A6856"/>
  <c r="B6855"/>
  <c r="A6855"/>
  <c r="B6854"/>
  <c r="A6854"/>
  <c r="B6853"/>
  <c r="A6853"/>
  <c r="B6852"/>
  <c r="A6852"/>
  <c r="B6851"/>
  <c r="A6851"/>
  <c r="B6850"/>
  <c r="A6850"/>
  <c r="B6849"/>
  <c r="A6849"/>
  <c r="B6848"/>
  <c r="A6848"/>
  <c r="B6847"/>
  <c r="A6847"/>
  <c r="B6846"/>
  <c r="A6846"/>
  <c r="B6845"/>
  <c r="A6845"/>
  <c r="B6844"/>
  <c r="A6844"/>
  <c r="B6843"/>
  <c r="A6843"/>
  <c r="B6842"/>
  <c r="A6842"/>
  <c r="B6841"/>
  <c r="A6841"/>
  <c r="B6840"/>
  <c r="A6840"/>
  <c r="B6839"/>
  <c r="A6839"/>
  <c r="B6838"/>
  <c r="A6838"/>
  <c r="B6837"/>
  <c r="A6837"/>
  <c r="B6836"/>
  <c r="A6836"/>
  <c r="B6835"/>
  <c r="A6835"/>
  <c r="B6834"/>
  <c r="A6834"/>
  <c r="B6833"/>
  <c r="A6833"/>
  <c r="B6832"/>
  <c r="A6832"/>
  <c r="B6831"/>
  <c r="A6831"/>
  <c r="B6830"/>
  <c r="A6830"/>
  <c r="B6829"/>
  <c r="A6829"/>
  <c r="B6828"/>
  <c r="A6828"/>
  <c r="B6827"/>
  <c r="A6827"/>
  <c r="B6826"/>
  <c r="A6826"/>
  <c r="B6825"/>
  <c r="A6825"/>
  <c r="B6824"/>
  <c r="A6824"/>
  <c r="B6823"/>
  <c r="A6823"/>
  <c r="B6822"/>
  <c r="A6822"/>
  <c r="B6821"/>
  <c r="A6821"/>
  <c r="B6820"/>
  <c r="A6820"/>
  <c r="B6819"/>
  <c r="A6819"/>
  <c r="B6818"/>
  <c r="A6818"/>
  <c r="B6817"/>
  <c r="A6817"/>
  <c r="B6816"/>
  <c r="A6816"/>
  <c r="B6815"/>
  <c r="A6815"/>
  <c r="B6814"/>
  <c r="A6814"/>
  <c r="B6813"/>
  <c r="A6813"/>
  <c r="B6812"/>
  <c r="A6812"/>
  <c r="B6811"/>
  <c r="A6811"/>
  <c r="B6810"/>
  <c r="A6810"/>
  <c r="B6809"/>
  <c r="A6809"/>
  <c r="B6808"/>
  <c r="A6808"/>
  <c r="B6807"/>
  <c r="A6807"/>
  <c r="B6806"/>
  <c r="A6806"/>
  <c r="B6805"/>
  <c r="A6805"/>
  <c r="B6804"/>
  <c r="A6804"/>
  <c r="B6803"/>
  <c r="A6803"/>
  <c r="B6802"/>
  <c r="A6802"/>
  <c r="B6801"/>
  <c r="A6801"/>
  <c r="B6800"/>
  <c r="A6800"/>
  <c r="B6799"/>
  <c r="A6799"/>
  <c r="B6798"/>
  <c r="A6798"/>
  <c r="B6797"/>
  <c r="A6797"/>
  <c r="B6796"/>
  <c r="A6796"/>
  <c r="B6795"/>
  <c r="A6795"/>
  <c r="B6794"/>
  <c r="A6794"/>
  <c r="B6793"/>
  <c r="A6793"/>
  <c r="B6792"/>
  <c r="A6792"/>
  <c r="B6791"/>
  <c r="A6791"/>
  <c r="B6790"/>
  <c r="A6790"/>
  <c r="B6789"/>
  <c r="A6789"/>
  <c r="B6788"/>
  <c r="A6788"/>
  <c r="B6787"/>
  <c r="A6787"/>
  <c r="B6786"/>
  <c r="A6786"/>
  <c r="B6785"/>
  <c r="A6785"/>
  <c r="B6784"/>
  <c r="A6784"/>
  <c r="B6783"/>
  <c r="A6783"/>
  <c r="B6782"/>
  <c r="A6782"/>
  <c r="B6781"/>
  <c r="A6781"/>
  <c r="B6780"/>
  <c r="A6780"/>
  <c r="B6779"/>
  <c r="A6779"/>
  <c r="B6778"/>
  <c r="A6778"/>
  <c r="B6777"/>
  <c r="A6777"/>
  <c r="B6776"/>
  <c r="A6776"/>
  <c r="B6775"/>
  <c r="A6775"/>
  <c r="B6774"/>
  <c r="A6774"/>
  <c r="B6773"/>
  <c r="A6773"/>
  <c r="B6772"/>
  <c r="A6772"/>
  <c r="B6771"/>
  <c r="A6771"/>
  <c r="B6770"/>
  <c r="A6770"/>
  <c r="B6769"/>
  <c r="A6769"/>
  <c r="B6768"/>
  <c r="A6768"/>
  <c r="B6767"/>
  <c r="A6767"/>
  <c r="B6766"/>
  <c r="A6766"/>
  <c r="B6765"/>
  <c r="A6765"/>
  <c r="B6764"/>
  <c r="A6764"/>
  <c r="B6763"/>
  <c r="A6763"/>
  <c r="B6762"/>
  <c r="A6762"/>
  <c r="B6761"/>
  <c r="A6761"/>
  <c r="B6760"/>
  <c r="A6760"/>
  <c r="B6759"/>
  <c r="A6759"/>
  <c r="B6758"/>
  <c r="A6758"/>
  <c r="B6757"/>
  <c r="A6757"/>
  <c r="B6756"/>
  <c r="A6756"/>
  <c r="B6755"/>
  <c r="A6755"/>
  <c r="B6754"/>
  <c r="A6754"/>
  <c r="B6753"/>
  <c r="A6753"/>
  <c r="B6752"/>
  <c r="A6752"/>
  <c r="B6751"/>
  <c r="A6751"/>
  <c r="B6750"/>
  <c r="A6750"/>
  <c r="B6749"/>
  <c r="A6749"/>
  <c r="B6748"/>
  <c r="A6748"/>
  <c r="B6747"/>
  <c r="A6747"/>
  <c r="B6746"/>
  <c r="A6746"/>
  <c r="B6745"/>
  <c r="A6745"/>
  <c r="B6744"/>
  <c r="A6744"/>
  <c r="B6743"/>
  <c r="A6743"/>
  <c r="B6742"/>
  <c r="A6742"/>
  <c r="B6741"/>
  <c r="A6741"/>
  <c r="B6740"/>
  <c r="A6740"/>
  <c r="B6739"/>
  <c r="A6739"/>
  <c r="B6738"/>
  <c r="A6738"/>
  <c r="B6737"/>
  <c r="A6737"/>
  <c r="B6736"/>
  <c r="A6736"/>
  <c r="B6735"/>
  <c r="A6735"/>
  <c r="B6734"/>
  <c r="A6734"/>
  <c r="B6733"/>
  <c r="A6733"/>
  <c r="B6732"/>
  <c r="A6732"/>
  <c r="B6731"/>
  <c r="A6731"/>
  <c r="B6730"/>
  <c r="A6730"/>
  <c r="B6729"/>
  <c r="A6729"/>
  <c r="B6728"/>
  <c r="A6728"/>
  <c r="B6727"/>
  <c r="A6727"/>
  <c r="B6726"/>
  <c r="A6726"/>
  <c r="B6725"/>
  <c r="A6725"/>
  <c r="B6724"/>
  <c r="A6724"/>
  <c r="B6723"/>
  <c r="A6723"/>
  <c r="B6722"/>
  <c r="A6722"/>
  <c r="B6721"/>
  <c r="A6721"/>
  <c r="B6720"/>
  <c r="A6720"/>
  <c r="B6719"/>
  <c r="A6719"/>
  <c r="B6718"/>
  <c r="A6718"/>
  <c r="B6717"/>
  <c r="A6717"/>
  <c r="B6716"/>
  <c r="A6716"/>
  <c r="B6715"/>
  <c r="A6715"/>
  <c r="B6714"/>
  <c r="A6714"/>
  <c r="B6713"/>
  <c r="A6713"/>
  <c r="B6712"/>
  <c r="A6712"/>
  <c r="B6711"/>
  <c r="A6711"/>
  <c r="B6710"/>
  <c r="A6710"/>
  <c r="B6709"/>
  <c r="A6709"/>
  <c r="B6708"/>
  <c r="A6708"/>
  <c r="B6707"/>
  <c r="A6707"/>
  <c r="B6706"/>
  <c r="A6706"/>
  <c r="B6705"/>
  <c r="A6705"/>
  <c r="B6704"/>
  <c r="A6704"/>
  <c r="B6703"/>
  <c r="A6703"/>
  <c r="B6702"/>
  <c r="A6702"/>
  <c r="B6701"/>
  <c r="A6701"/>
  <c r="B6700"/>
  <c r="A6700"/>
  <c r="B6699"/>
  <c r="A6699"/>
  <c r="B6698"/>
  <c r="A6698"/>
  <c r="B6697"/>
  <c r="A6697"/>
  <c r="B6696"/>
  <c r="A6696"/>
  <c r="B6695"/>
  <c r="A6695"/>
  <c r="B6694"/>
  <c r="A6694"/>
  <c r="B6693"/>
  <c r="A6693"/>
  <c r="B6692"/>
  <c r="A6692"/>
  <c r="B6691"/>
  <c r="A6691"/>
  <c r="B6690"/>
  <c r="A6690"/>
  <c r="B6689"/>
  <c r="A6689"/>
  <c r="B6688"/>
  <c r="A6688"/>
  <c r="B6687"/>
  <c r="A6687"/>
  <c r="B6686"/>
  <c r="A6686"/>
  <c r="B6685"/>
  <c r="A6685"/>
  <c r="B6684"/>
  <c r="A6684"/>
  <c r="B6683"/>
  <c r="A6683"/>
  <c r="B6682"/>
  <c r="A6682"/>
  <c r="B6681"/>
  <c r="A6681"/>
  <c r="B6680"/>
  <c r="A6680"/>
  <c r="B6679"/>
  <c r="A6679"/>
  <c r="B6678"/>
  <c r="A6678"/>
  <c r="B6677"/>
  <c r="A6677"/>
  <c r="B6676"/>
  <c r="A6676"/>
  <c r="B6675"/>
  <c r="A6675"/>
  <c r="B6674"/>
  <c r="A6674"/>
  <c r="B6673"/>
  <c r="A6673"/>
  <c r="B6672"/>
  <c r="A6672"/>
  <c r="B6671"/>
  <c r="A6671"/>
  <c r="B6670"/>
  <c r="A6670"/>
  <c r="B6669"/>
  <c r="A6669"/>
  <c r="B6668"/>
  <c r="A6668"/>
  <c r="B6667"/>
  <c r="A6667"/>
  <c r="B6666"/>
  <c r="A6666"/>
  <c r="B6665"/>
  <c r="A6665"/>
  <c r="B6664"/>
  <c r="A6664"/>
  <c r="B6663"/>
  <c r="A6663"/>
  <c r="B6662"/>
  <c r="A6662"/>
  <c r="B6661"/>
  <c r="A6661"/>
  <c r="B6660"/>
  <c r="A6660"/>
  <c r="B6659"/>
  <c r="A6659"/>
  <c r="B6658"/>
  <c r="A6658"/>
  <c r="B6657"/>
  <c r="A6657"/>
  <c r="B6656"/>
  <c r="A6656"/>
  <c r="B6655"/>
  <c r="A6655"/>
  <c r="B6654"/>
  <c r="A6654"/>
  <c r="B6653"/>
  <c r="A6653"/>
  <c r="B6652"/>
  <c r="A6652"/>
  <c r="B6651"/>
  <c r="A6651"/>
  <c r="B6650"/>
  <c r="A6650"/>
  <c r="B6649"/>
  <c r="A6649"/>
  <c r="B6648"/>
  <c r="A6648"/>
  <c r="B6647"/>
  <c r="A6647"/>
  <c r="B6646"/>
  <c r="A6646"/>
  <c r="B6645"/>
  <c r="A6645"/>
  <c r="B6644"/>
  <c r="A6644"/>
  <c r="B6643"/>
  <c r="A6643"/>
  <c r="B6642"/>
  <c r="A6642"/>
  <c r="B6641"/>
  <c r="A6641"/>
  <c r="B6640"/>
  <c r="A6640"/>
  <c r="B6639"/>
  <c r="A6639"/>
  <c r="B6638"/>
  <c r="A6638"/>
  <c r="B6637"/>
  <c r="A6637"/>
  <c r="B6636"/>
  <c r="A6636"/>
  <c r="B6635"/>
  <c r="A6635"/>
  <c r="B6634"/>
  <c r="A6634"/>
  <c r="B6633"/>
  <c r="A6633"/>
  <c r="B6632"/>
  <c r="A6632"/>
  <c r="B6631"/>
  <c r="A6631"/>
  <c r="B6630"/>
  <c r="A6630"/>
  <c r="B6629"/>
  <c r="A6629"/>
  <c r="B6628"/>
  <c r="A6628"/>
  <c r="B6627"/>
  <c r="A6627"/>
  <c r="B6626"/>
  <c r="A6626"/>
  <c r="B6625"/>
  <c r="A6625"/>
  <c r="B6624"/>
  <c r="A6624"/>
  <c r="B6623"/>
  <c r="A6623"/>
  <c r="B6622"/>
  <c r="A6622"/>
  <c r="B6621"/>
  <c r="A6621"/>
  <c r="B6620"/>
  <c r="A6620"/>
  <c r="B6619"/>
  <c r="A6619"/>
  <c r="B6618"/>
  <c r="A6618"/>
  <c r="B6617"/>
  <c r="A6617"/>
  <c r="B6616"/>
  <c r="A6616"/>
  <c r="B6615"/>
  <c r="A6615"/>
  <c r="B6614"/>
  <c r="A6614"/>
  <c r="B6613"/>
  <c r="A6613"/>
  <c r="B6612"/>
  <c r="A6612"/>
  <c r="B6611"/>
  <c r="A6611"/>
  <c r="B6610"/>
  <c r="A6610"/>
  <c r="B6609"/>
  <c r="A6609"/>
  <c r="B6608"/>
  <c r="A6608"/>
  <c r="B6607"/>
  <c r="A6607"/>
  <c r="B6606"/>
  <c r="A6606"/>
  <c r="B6605"/>
  <c r="A6605"/>
  <c r="B6604"/>
  <c r="A6604"/>
  <c r="B6603"/>
  <c r="A6603"/>
  <c r="B6602"/>
  <c r="A6602"/>
  <c r="B6601"/>
  <c r="A6601"/>
  <c r="B6600"/>
  <c r="A6600"/>
  <c r="B6599"/>
  <c r="A6599"/>
  <c r="B6598"/>
  <c r="A6598"/>
  <c r="B6597"/>
  <c r="A6597"/>
  <c r="B6596"/>
  <c r="A6596"/>
  <c r="B6595"/>
  <c r="A6595"/>
  <c r="B6594"/>
  <c r="A6594"/>
  <c r="B6593"/>
  <c r="A6593"/>
  <c r="B6592"/>
  <c r="A6592"/>
  <c r="B6591"/>
  <c r="A6591"/>
  <c r="B6590"/>
  <c r="A6590"/>
  <c r="B6589"/>
  <c r="A6589"/>
  <c r="B6588"/>
  <c r="A6588"/>
  <c r="B6587"/>
  <c r="A6587"/>
  <c r="B6586"/>
  <c r="A6586"/>
  <c r="B6585"/>
  <c r="A6585"/>
  <c r="B6584"/>
  <c r="A6584"/>
  <c r="B6583"/>
  <c r="A6583"/>
  <c r="B6582"/>
  <c r="A6582"/>
  <c r="B6581"/>
  <c r="A6581"/>
  <c r="B6580"/>
  <c r="A6580"/>
  <c r="B6579"/>
  <c r="A6579"/>
  <c r="B6578"/>
  <c r="A6578"/>
  <c r="B6577"/>
  <c r="A6577"/>
  <c r="B6576"/>
  <c r="A6576"/>
  <c r="B6575"/>
  <c r="A6575"/>
  <c r="B6574"/>
  <c r="A6574"/>
  <c r="B6573"/>
  <c r="A6573"/>
  <c r="B6572"/>
  <c r="A6572"/>
  <c r="B6571"/>
  <c r="A6571"/>
  <c r="B6570"/>
  <c r="A6570"/>
  <c r="B6569"/>
  <c r="A6569"/>
  <c r="B6568"/>
  <c r="A6568"/>
  <c r="B6567"/>
  <c r="A6567"/>
  <c r="B6566"/>
  <c r="A6566"/>
  <c r="B6565"/>
  <c r="A6565"/>
  <c r="B6564"/>
  <c r="A6564"/>
  <c r="B6563"/>
  <c r="A6563"/>
  <c r="B6562"/>
  <c r="A6562"/>
  <c r="B6561"/>
  <c r="A6561"/>
  <c r="B6560"/>
  <c r="A6560"/>
  <c r="B6559"/>
  <c r="A6559"/>
  <c r="B6558"/>
  <c r="A6558"/>
  <c r="B6557"/>
  <c r="A6557"/>
  <c r="B6556"/>
  <c r="A6556"/>
  <c r="B6555"/>
  <c r="A6555"/>
  <c r="B6554"/>
  <c r="A6554"/>
  <c r="B6553"/>
  <c r="A6553"/>
  <c r="B6552"/>
  <c r="A6552"/>
  <c r="B6551"/>
  <c r="A6551"/>
  <c r="B6550"/>
  <c r="A6550"/>
  <c r="B6549"/>
  <c r="A6549"/>
  <c r="B6548"/>
  <c r="A6548"/>
  <c r="B6547"/>
  <c r="A6547"/>
  <c r="B6546"/>
  <c r="A6546"/>
  <c r="B6545"/>
  <c r="A6545"/>
  <c r="B6544"/>
  <c r="A6544"/>
  <c r="B6543"/>
  <c r="A6543"/>
  <c r="B6542"/>
  <c r="A6542"/>
  <c r="B6541"/>
  <c r="A6541"/>
  <c r="B6540"/>
  <c r="A6540"/>
  <c r="B6539"/>
  <c r="A6539"/>
  <c r="B6538"/>
  <c r="A6538"/>
  <c r="B6537"/>
  <c r="A6537"/>
  <c r="B6536"/>
  <c r="A6536"/>
  <c r="B6535"/>
  <c r="A6535"/>
  <c r="B6534"/>
  <c r="A6534"/>
  <c r="B6533"/>
  <c r="A6533"/>
  <c r="B6532"/>
  <c r="A6532"/>
  <c r="B6531"/>
  <c r="A6531"/>
  <c r="B6530"/>
  <c r="A6530"/>
  <c r="B6529"/>
  <c r="A6529"/>
  <c r="B6528"/>
  <c r="A6528"/>
  <c r="B6527"/>
  <c r="A6527"/>
  <c r="B6526"/>
  <c r="A6526"/>
  <c r="B6525"/>
  <c r="A6525"/>
  <c r="B6524"/>
  <c r="A6524"/>
  <c r="B6523"/>
  <c r="A6523"/>
  <c r="B6522"/>
  <c r="A6522"/>
  <c r="B6521"/>
  <c r="A6521"/>
  <c r="B6520"/>
  <c r="A6520"/>
  <c r="B6519"/>
  <c r="A6519"/>
  <c r="B6518"/>
  <c r="A6518"/>
  <c r="B6517"/>
  <c r="A6517"/>
  <c r="B6516"/>
  <c r="A6516"/>
  <c r="B6515"/>
  <c r="A6515"/>
  <c r="B6514"/>
  <c r="A6514"/>
  <c r="B6513"/>
  <c r="A6513"/>
  <c r="B6512"/>
  <c r="A6512"/>
  <c r="B6511"/>
  <c r="A6511"/>
  <c r="B6510"/>
  <c r="A6510"/>
  <c r="B6509"/>
  <c r="A6509"/>
  <c r="B6508"/>
  <c r="A6508"/>
  <c r="B6507"/>
  <c r="A6507"/>
  <c r="B6506"/>
  <c r="A6506"/>
  <c r="B6505"/>
  <c r="A6505"/>
  <c r="B6504"/>
  <c r="A6504"/>
  <c r="B6503"/>
  <c r="A6503"/>
  <c r="B6502"/>
  <c r="A6502"/>
  <c r="B6501"/>
  <c r="A6501"/>
  <c r="B6500"/>
  <c r="A6500"/>
  <c r="B6499"/>
  <c r="A6499"/>
  <c r="B6498"/>
  <c r="A6498"/>
  <c r="B6497"/>
  <c r="A6497"/>
  <c r="B6496"/>
  <c r="A6496"/>
  <c r="B6495"/>
  <c r="A6495"/>
  <c r="B6494"/>
  <c r="A6494"/>
  <c r="B6493"/>
  <c r="A6493"/>
  <c r="B6492"/>
  <c r="A6492"/>
  <c r="B6491"/>
  <c r="A6491"/>
  <c r="B6490"/>
  <c r="A6490"/>
  <c r="B6489"/>
  <c r="A6489"/>
  <c r="B6488"/>
  <c r="A6488"/>
  <c r="B6487"/>
  <c r="A6487"/>
  <c r="B6486"/>
  <c r="A6486"/>
  <c r="B6485"/>
  <c r="A6485"/>
  <c r="B6484"/>
  <c r="A6484"/>
  <c r="B6483"/>
  <c r="A6483"/>
  <c r="B6482"/>
  <c r="A6482"/>
  <c r="B6481"/>
  <c r="A6481"/>
  <c r="B6480"/>
  <c r="A6480"/>
  <c r="B6479"/>
  <c r="A6479"/>
  <c r="B6478"/>
  <c r="A6478"/>
  <c r="B6477"/>
  <c r="A6477"/>
  <c r="B6476"/>
  <c r="A6476"/>
  <c r="B6475"/>
  <c r="A6475"/>
  <c r="B6474"/>
  <c r="A6474"/>
  <c r="B6473"/>
  <c r="A6473"/>
  <c r="B6472"/>
  <c r="A6472"/>
  <c r="B6471"/>
  <c r="A6471"/>
  <c r="B6470"/>
  <c r="A6470"/>
  <c r="B6469"/>
  <c r="A6469"/>
  <c r="B6468"/>
  <c r="A6468"/>
  <c r="B6467"/>
  <c r="A6467"/>
  <c r="B6466"/>
  <c r="A6466"/>
  <c r="B6465"/>
  <c r="A6465"/>
  <c r="B6464"/>
  <c r="A6464"/>
  <c r="B6463"/>
  <c r="A6463"/>
  <c r="B6462"/>
  <c r="A6462"/>
  <c r="B6461"/>
  <c r="A6461"/>
  <c r="B6460"/>
  <c r="A6460"/>
  <c r="B6459"/>
  <c r="A6459"/>
  <c r="B6458"/>
  <c r="A6458"/>
  <c r="B6457"/>
  <c r="A6457"/>
  <c r="B6456"/>
  <c r="A6456"/>
  <c r="B6455"/>
  <c r="A6455"/>
  <c r="B6454"/>
  <c r="A6454"/>
  <c r="B6453"/>
  <c r="A6453"/>
  <c r="B6452"/>
  <c r="A6452"/>
  <c r="B6451"/>
  <c r="A6451"/>
  <c r="B6450"/>
  <c r="A6450"/>
  <c r="B6449"/>
  <c r="A6449"/>
  <c r="B6448"/>
  <c r="A6448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75"/>
  <c r="A75"/>
  <c r="N1519" i="19" l="1"/>
  <c r="N1518"/>
  <c r="N1517"/>
  <c r="N1516"/>
  <c r="N1515"/>
  <c r="N1514"/>
  <c r="N1513"/>
  <c r="N1512"/>
  <c r="N1511"/>
  <c r="N1510"/>
  <c r="N1509"/>
  <c r="N1508"/>
  <c r="N1507"/>
  <c r="N1506"/>
  <c r="N1505"/>
  <c r="N1504"/>
  <c r="N1503"/>
  <c r="N1502"/>
  <c r="N1501"/>
  <c r="N1500"/>
  <c r="N1499"/>
  <c r="N1498"/>
  <c r="N1497"/>
  <c r="N1496"/>
  <c r="N1495"/>
  <c r="N1494"/>
  <c r="N1493"/>
  <c r="N1492"/>
  <c r="N1491"/>
  <c r="N1490"/>
  <c r="N1489"/>
  <c r="N1488"/>
  <c r="N1487"/>
  <c r="N1486"/>
  <c r="N1485"/>
  <c r="N1484"/>
  <c r="N1483"/>
  <c r="N1482"/>
  <c r="N1481"/>
  <c r="N1480"/>
  <c r="N1479"/>
  <c r="N1478"/>
  <c r="N1477"/>
  <c r="N1476"/>
  <c r="N1475"/>
  <c r="N1474"/>
  <c r="N1473"/>
  <c r="N1472"/>
  <c r="N1471"/>
  <c r="N1470"/>
  <c r="N1469"/>
  <c r="N1468"/>
  <c r="N1467"/>
  <c r="N1466"/>
  <c r="N1465"/>
  <c r="N1464"/>
  <c r="N1463"/>
  <c r="N1462"/>
  <c r="N1461"/>
  <c r="N1460"/>
  <c r="N1459"/>
  <c r="N1458"/>
  <c r="N1457"/>
  <c r="N1456"/>
  <c r="N1455"/>
  <c r="N1454"/>
  <c r="N1453"/>
  <c r="N1452"/>
  <c r="N1451"/>
  <c r="N1450"/>
  <c r="N1449"/>
  <c r="N1448"/>
  <c r="N1447"/>
  <c r="N1446"/>
  <c r="N1445"/>
  <c r="N1444"/>
  <c r="N1443"/>
  <c r="N1442"/>
  <c r="N1441"/>
  <c r="N1440"/>
  <c r="N1439"/>
  <c r="N1438"/>
  <c r="N1437"/>
  <c r="N1436"/>
  <c r="N1435"/>
  <c r="N1434"/>
  <c r="N1433"/>
  <c r="N1432"/>
  <c r="N1431"/>
  <c r="N1430"/>
  <c r="N1429"/>
  <c r="N1428"/>
  <c r="N1427"/>
  <c r="N1426"/>
  <c r="N1425"/>
  <c r="N1424"/>
  <c r="N1423"/>
  <c r="N1422"/>
  <c r="N1421"/>
  <c r="N1420"/>
  <c r="N1419"/>
  <c r="N1418"/>
  <c r="N1417"/>
  <c r="N1416"/>
  <c r="N1415"/>
  <c r="N1414"/>
  <c r="N1413"/>
  <c r="N1412"/>
  <c r="N1411"/>
  <c r="N1410"/>
  <c r="N1409"/>
  <c r="N1408"/>
  <c r="N1407"/>
  <c r="N1406"/>
  <c r="N1405"/>
  <c r="N1404"/>
  <c r="N1403"/>
  <c r="N1402"/>
  <c r="N1401"/>
  <c r="N1400"/>
  <c r="N1399"/>
  <c r="N1398"/>
  <c r="N1397"/>
  <c r="N1396"/>
  <c r="N1395"/>
  <c r="N1394"/>
  <c r="N1393"/>
  <c r="N1392"/>
  <c r="N1391"/>
  <c r="N1390"/>
  <c r="N1389"/>
  <c r="N1388"/>
  <c r="N1387"/>
  <c r="N1386"/>
  <c r="N1385"/>
  <c r="N1384"/>
  <c r="N1383"/>
  <c r="N1382"/>
  <c r="N1381"/>
  <c r="N1380"/>
  <c r="N1379"/>
  <c r="N1378"/>
  <c r="N1377"/>
  <c r="N1376"/>
  <c r="N1375"/>
  <c r="N1374"/>
  <c r="N1373"/>
  <c r="N1372"/>
  <c r="N1371"/>
  <c r="N1370"/>
  <c r="N1369"/>
  <c r="N1368"/>
  <c r="N1367"/>
  <c r="N1366"/>
  <c r="N1365"/>
  <c r="N1364"/>
  <c r="N1363"/>
  <c r="N1362"/>
  <c r="N1361"/>
  <c r="N1360"/>
  <c r="N1359"/>
  <c r="N1358"/>
  <c r="N1357"/>
  <c r="N1356"/>
  <c r="N1355"/>
  <c r="N1354"/>
  <c r="N1353"/>
  <c r="N1352"/>
  <c r="N1351"/>
  <c r="N1350"/>
  <c r="N1349"/>
  <c r="N1348"/>
  <c r="N1347"/>
  <c r="N1346"/>
  <c r="N1345"/>
  <c r="N1344"/>
  <c r="N1343"/>
  <c r="N1342"/>
  <c r="N1341"/>
  <c r="N1340"/>
  <c r="N1339"/>
  <c r="N1338"/>
  <c r="N1337"/>
  <c r="N1336"/>
  <c r="N1335"/>
  <c r="N1334"/>
  <c r="N1333"/>
  <c r="N1332"/>
  <c r="N1331"/>
  <c r="N1330"/>
  <c r="N1329"/>
  <c r="N1328"/>
  <c r="N1327"/>
  <c r="N1326"/>
  <c r="N1325"/>
  <c r="N1324"/>
  <c r="N1323"/>
  <c r="N1322"/>
  <c r="N1321"/>
  <c r="N1320"/>
  <c r="N1319"/>
  <c r="N1318"/>
  <c r="N1317"/>
  <c r="N1316"/>
  <c r="N1315"/>
  <c r="N1314"/>
  <c r="N1313"/>
  <c r="N1312"/>
  <c r="N1311"/>
  <c r="N1310"/>
  <c r="N1309"/>
  <c r="N1308"/>
  <c r="N1307"/>
  <c r="N1306"/>
  <c r="N1305"/>
  <c r="N1304"/>
  <c r="N1303"/>
  <c r="N1302"/>
  <c r="N1301"/>
  <c r="N1300"/>
  <c r="N1299"/>
  <c r="N1298"/>
  <c r="N1297"/>
  <c r="N1296"/>
  <c r="N1295"/>
  <c r="N1294"/>
  <c r="N1293"/>
  <c r="N1292"/>
  <c r="N1291"/>
  <c r="N1290"/>
  <c r="N1289"/>
  <c r="N1288"/>
  <c r="N1287"/>
  <c r="N1286"/>
  <c r="N1285"/>
  <c r="N1284"/>
  <c r="N1283"/>
  <c r="N1282"/>
  <c r="N1281"/>
  <c r="N1280"/>
  <c r="N1279"/>
  <c r="N1278"/>
  <c r="N1277"/>
  <c r="N1276"/>
  <c r="N1275"/>
  <c r="N1274"/>
  <c r="N1273"/>
  <c r="N1272"/>
  <c r="N1271"/>
  <c r="N1270"/>
  <c r="N1269"/>
  <c r="N1268"/>
  <c r="N1267"/>
  <c r="N1266"/>
  <c r="N1265"/>
  <c r="N1264"/>
  <c r="N1263"/>
  <c r="N1262"/>
  <c r="N1261"/>
  <c r="N1260"/>
  <c r="N1259"/>
  <c r="N1258"/>
  <c r="N1257"/>
  <c r="N1256"/>
  <c r="N1255"/>
  <c r="N1254"/>
  <c r="N1253"/>
  <c r="N1252"/>
  <c r="N1251"/>
  <c r="N1250"/>
  <c r="N1249"/>
  <c r="N1248"/>
  <c r="N1247"/>
  <c r="N1246"/>
  <c r="N1245"/>
  <c r="N1244"/>
  <c r="N1243"/>
  <c r="N1242"/>
  <c r="N1241"/>
  <c r="N1240"/>
  <c r="N1239"/>
  <c r="N1238"/>
  <c r="N1237"/>
  <c r="N1236"/>
  <c r="N1235"/>
  <c r="N1234"/>
  <c r="N1233"/>
  <c r="N1232"/>
  <c r="N1231"/>
  <c r="N1230"/>
  <c r="N1229"/>
  <c r="N1228"/>
  <c r="N1227"/>
  <c r="N1226"/>
  <c r="N1225"/>
  <c r="N1224"/>
  <c r="N1223"/>
  <c r="N1222"/>
  <c r="N1221"/>
  <c r="N1220"/>
  <c r="N1219"/>
  <c r="N1218"/>
  <c r="N1217"/>
  <c r="N1216"/>
  <c r="N1215"/>
  <c r="N1214"/>
  <c r="N1213"/>
  <c r="N1212"/>
  <c r="N1211"/>
  <c r="N1210"/>
  <c r="N1209"/>
  <c r="N1208"/>
  <c r="N1207"/>
  <c r="N1206"/>
  <c r="N1205"/>
  <c r="N1204"/>
  <c r="N1203"/>
  <c r="N1202"/>
  <c r="N1201"/>
  <c r="N1200"/>
  <c r="N1199"/>
  <c r="N1198"/>
  <c r="N1197"/>
  <c r="N1196"/>
  <c r="N1195"/>
  <c r="N1194"/>
  <c r="N1193"/>
  <c r="N1192"/>
  <c r="N1191"/>
  <c r="N1190"/>
  <c r="N1189"/>
  <c r="N1188"/>
  <c r="N1187"/>
  <c r="N1186"/>
  <c r="N1185"/>
  <c r="N1184"/>
  <c r="N1183"/>
  <c r="N1182"/>
  <c r="N1181"/>
  <c r="N1180"/>
  <c r="N1179"/>
  <c r="N1178"/>
  <c r="N1177"/>
  <c r="N1176"/>
  <c r="N1175"/>
  <c r="N1174"/>
  <c r="N1173"/>
  <c r="N1172"/>
  <c r="N1171"/>
  <c r="N1170"/>
  <c r="N1169"/>
  <c r="N1168"/>
  <c r="N1167"/>
  <c r="N1166"/>
  <c r="N1165"/>
  <c r="N1164"/>
  <c r="N1163"/>
  <c r="N1162"/>
  <c r="N1161"/>
  <c r="N1160"/>
  <c r="N1159"/>
  <c r="N1158"/>
  <c r="N1157"/>
  <c r="N1156"/>
  <c r="N1155"/>
  <c r="N1154"/>
  <c r="N1153"/>
  <c r="N1152"/>
  <c r="N1151"/>
  <c r="N1150"/>
  <c r="N1149"/>
  <c r="N1148"/>
  <c r="N1147"/>
  <c r="N1146"/>
  <c r="N1145"/>
  <c r="N1144"/>
  <c r="N1143"/>
  <c r="N1142"/>
  <c r="N1141"/>
  <c r="N1140"/>
  <c r="N1139"/>
  <c r="N1138"/>
  <c r="N1137"/>
  <c r="N1136"/>
  <c r="N1135"/>
  <c r="N1134"/>
  <c r="N1133"/>
  <c r="N1132"/>
  <c r="N1131"/>
  <c r="N1130"/>
  <c r="N1129"/>
  <c r="N1128"/>
  <c r="N1127"/>
  <c r="N1126"/>
  <c r="N1125"/>
  <c r="N1124"/>
  <c r="N1123"/>
  <c r="N1122"/>
  <c r="N1121"/>
  <c r="N1120"/>
  <c r="N1119"/>
  <c r="N1118"/>
  <c r="N1117"/>
  <c r="N1116"/>
  <c r="N1115"/>
  <c r="N1114"/>
  <c r="N1113"/>
  <c r="N1112"/>
  <c r="N1111"/>
  <c r="N1110"/>
  <c r="N1109"/>
  <c r="N1108"/>
  <c r="N1107"/>
  <c r="N1106"/>
  <c r="N1105"/>
  <c r="N1104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985"/>
  <c r="N984"/>
  <c r="N983"/>
  <c r="N982"/>
  <c r="N981"/>
  <c r="N980"/>
  <c r="N979"/>
  <c r="N978"/>
  <c r="N977"/>
  <c r="N976"/>
  <c r="N975"/>
  <c r="N974"/>
  <c r="N973"/>
  <c r="N972"/>
  <c r="N971"/>
  <c r="N970"/>
  <c r="N969"/>
  <c r="N968"/>
  <c r="N967"/>
  <c r="N966"/>
  <c r="N965"/>
  <c r="N964"/>
  <c r="N963"/>
  <c r="N962"/>
  <c r="N961"/>
  <c r="N960"/>
  <c r="N959"/>
  <c r="N958"/>
  <c r="N957"/>
  <c r="N956"/>
  <c r="N955"/>
  <c r="N954"/>
  <c r="N953"/>
  <c r="N952"/>
  <c r="N951"/>
  <c r="N950"/>
  <c r="N949"/>
  <c r="N948"/>
  <c r="N947"/>
  <c r="N946"/>
  <c r="N945"/>
  <c r="N944"/>
  <c r="N943"/>
  <c r="N942"/>
  <c r="N941"/>
  <c r="N940"/>
  <c r="N939"/>
  <c r="N938"/>
  <c r="N937"/>
  <c r="N936"/>
  <c r="N935"/>
  <c r="N934"/>
  <c r="N933"/>
  <c r="N932"/>
  <c r="N931"/>
  <c r="N930"/>
  <c r="N929"/>
  <c r="N928"/>
  <c r="N927"/>
  <c r="N926"/>
  <c r="N925"/>
  <c r="N924"/>
  <c r="N923"/>
  <c r="N922"/>
  <c r="N921"/>
  <c r="N920"/>
  <c r="N919"/>
  <c r="N918"/>
  <c r="N917"/>
  <c r="N916"/>
  <c r="N915"/>
  <c r="N914"/>
  <c r="N913"/>
  <c r="N912"/>
  <c r="N911"/>
  <c r="N910"/>
  <c r="N909"/>
  <c r="N908"/>
  <c r="N907"/>
  <c r="N906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3"/>
  <c r="N832"/>
  <c r="N831"/>
  <c r="N830"/>
  <c r="N829"/>
  <c r="N828"/>
  <c r="N827"/>
  <c r="N826"/>
  <c r="N825"/>
  <c r="N824"/>
  <c r="N823"/>
  <c r="N822"/>
  <c r="N821"/>
  <c r="N820"/>
  <c r="N819"/>
  <c r="N818"/>
  <c r="N817"/>
  <c r="N816"/>
  <c r="N815"/>
  <c r="N814"/>
  <c r="N813"/>
  <c r="N812"/>
  <c r="N811"/>
  <c r="N810"/>
  <c r="N809"/>
  <c r="N808"/>
  <c r="N807"/>
  <c r="N806"/>
  <c r="N805"/>
  <c r="N804"/>
  <c r="N803"/>
  <c r="N802"/>
  <c r="N801"/>
  <c r="N800"/>
  <c r="N799"/>
  <c r="N798"/>
  <c r="N797"/>
  <c r="N796"/>
  <c r="N795"/>
  <c r="N794"/>
  <c r="N793"/>
  <c r="N792"/>
  <c r="N791"/>
  <c r="N790"/>
  <c r="N789"/>
  <c r="N788"/>
  <c r="N787"/>
  <c r="N786"/>
  <c r="N785"/>
  <c r="N784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6"/>
  <c r="N765"/>
  <c r="N764"/>
  <c r="N763"/>
  <c r="N762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673"/>
  <c r="N672"/>
  <c r="N671"/>
  <c r="N670"/>
  <c r="N669"/>
  <c r="N668"/>
  <c r="N667"/>
  <c r="N666"/>
  <c r="N665"/>
  <c r="N664"/>
  <c r="N663"/>
  <c r="N662"/>
  <c r="N661"/>
  <c r="N660"/>
  <c r="N659"/>
  <c r="N658"/>
  <c r="N657"/>
  <c r="N656"/>
  <c r="N655"/>
  <c r="N654"/>
  <c r="N653"/>
  <c r="N652"/>
  <c r="N651"/>
  <c r="N650"/>
  <c r="N649"/>
  <c r="N648"/>
  <c r="N647"/>
  <c r="N646"/>
  <c r="N645"/>
  <c r="N644"/>
  <c r="N643"/>
  <c r="N642"/>
  <c r="N641"/>
  <c r="N640"/>
  <c r="N639"/>
  <c r="N638"/>
  <c r="N637"/>
  <c r="N636"/>
  <c r="N635"/>
  <c r="N634"/>
  <c r="N633"/>
  <c r="N632"/>
  <c r="N631"/>
  <c r="N630"/>
  <c r="N629"/>
  <c r="N628"/>
  <c r="N627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5"/>
  <c r="N584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6"/>
  <c r="N565"/>
  <c r="N564"/>
  <c r="N563"/>
  <c r="N562"/>
  <c r="N561"/>
  <c r="N560"/>
  <c r="N559"/>
  <c r="N558"/>
  <c r="N557"/>
  <c r="N556"/>
  <c r="N555"/>
  <c r="N554"/>
  <c r="N553"/>
  <c r="N552"/>
  <c r="N551"/>
  <c r="N550"/>
  <c r="N549"/>
  <c r="N548"/>
  <c r="N547"/>
  <c r="N546"/>
  <c r="N545"/>
  <c r="N544"/>
  <c r="N543"/>
  <c r="N542"/>
  <c r="N541"/>
  <c r="N540"/>
  <c r="N539"/>
  <c r="N538"/>
  <c r="N537"/>
  <c r="N536"/>
  <c r="N535"/>
  <c r="N534"/>
  <c r="N533"/>
  <c r="N532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461"/>
  <c r="N460"/>
  <c r="N459"/>
  <c r="N458"/>
  <c r="N457"/>
  <c r="N456"/>
  <c r="N455"/>
  <c r="N454"/>
  <c r="N453"/>
  <c r="N452"/>
  <c r="N451"/>
  <c r="N450"/>
  <c r="N449"/>
  <c r="N448"/>
  <c r="N447"/>
  <c r="N446"/>
  <c r="N445"/>
  <c r="N444"/>
  <c r="N443"/>
  <c r="N442"/>
  <c r="N441"/>
  <c r="N440"/>
  <c r="N439"/>
  <c r="N438"/>
  <c r="N437"/>
  <c r="N436"/>
  <c r="N435"/>
  <c r="N434"/>
  <c r="N433"/>
  <c r="N432"/>
  <c r="N431"/>
  <c r="N430"/>
  <c r="N429"/>
  <c r="N428"/>
  <c r="N427"/>
  <c r="N426"/>
  <c r="N425"/>
  <c r="N424"/>
  <c r="N423"/>
  <c r="N422"/>
  <c r="N421"/>
  <c r="N420"/>
  <c r="N419"/>
  <c r="N418"/>
  <c r="N417"/>
  <c r="N416"/>
  <c r="N415"/>
  <c r="N414"/>
  <c r="N413"/>
  <c r="N412"/>
  <c r="N411"/>
  <c r="N410"/>
  <c r="N409"/>
  <c r="N408"/>
  <c r="N407"/>
  <c r="N406"/>
  <c r="N405"/>
  <c r="N404"/>
  <c r="N403"/>
  <c r="N402"/>
  <c r="N401"/>
  <c r="N400"/>
  <c r="N399"/>
  <c r="N398"/>
  <c r="N397"/>
  <c r="N396"/>
  <c r="N395"/>
  <c r="N394"/>
  <c r="N393"/>
  <c r="N392"/>
  <c r="N391"/>
  <c r="N390"/>
  <c r="N389"/>
  <c r="N388"/>
  <c r="N387"/>
  <c r="N386"/>
  <c r="N385"/>
  <c r="N384"/>
  <c r="N383"/>
  <c r="N382"/>
  <c r="N381"/>
  <c r="N380"/>
  <c r="N379"/>
  <c r="N378"/>
  <c r="N377"/>
  <c r="N376"/>
  <c r="N375"/>
  <c r="N374"/>
  <c r="N373"/>
  <c r="N372"/>
  <c r="N371"/>
  <c r="N370"/>
  <c r="N369"/>
  <c r="N368"/>
  <c r="N367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N345"/>
  <c r="N344"/>
  <c r="N343"/>
  <c r="N342"/>
  <c r="N341"/>
  <c r="N340"/>
  <c r="N339"/>
  <c r="N338"/>
  <c r="N337"/>
  <c r="N336"/>
  <c r="N335"/>
  <c r="N334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680" i="18" l="1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671"/>
  <c r="E211" i="3" l="1"/>
  <c r="E773"/>
  <c r="E507"/>
  <c r="E462"/>
  <c r="E1302"/>
  <c r="E264"/>
  <c r="E1017"/>
  <c r="E736"/>
  <c r="E1363"/>
  <c r="E682"/>
  <c r="E1239"/>
  <c r="E1165"/>
  <c r="E874"/>
  <c r="E1193"/>
  <c r="E730"/>
  <c r="E1201"/>
  <c r="E397"/>
  <c r="E562"/>
  <c r="E164"/>
  <c r="E311"/>
  <c r="E62"/>
  <c r="E1075"/>
  <c r="E999"/>
  <c r="E1015"/>
  <c r="E402"/>
  <c r="E1273"/>
  <c r="E1153"/>
  <c r="E861"/>
  <c r="E947"/>
  <c r="E424"/>
  <c r="E1223"/>
  <c r="E1310"/>
  <c r="E1112"/>
  <c r="E534"/>
  <c r="E754"/>
  <c r="E1130"/>
  <c r="E1219"/>
  <c r="E527"/>
  <c r="E823"/>
  <c r="E386"/>
  <c r="E1406"/>
  <c r="E598"/>
  <c r="E1088"/>
  <c r="E1276"/>
  <c r="E620"/>
  <c r="E511"/>
  <c r="E232"/>
  <c r="E1143"/>
  <c r="E1020"/>
  <c r="E767"/>
  <c r="E61"/>
  <c r="E303"/>
  <c r="E259"/>
  <c r="E1046"/>
  <c r="E418"/>
  <c r="E477"/>
  <c r="E790"/>
  <c r="E60"/>
  <c r="E1420"/>
  <c r="E59"/>
  <c r="E396"/>
  <c r="E58"/>
  <c r="E57"/>
  <c r="E56"/>
  <c r="E583"/>
  <c r="E1481"/>
  <c r="E724"/>
  <c r="E1038"/>
  <c r="E450"/>
  <c r="E794"/>
  <c r="E896"/>
  <c r="E1386"/>
  <c r="E1352"/>
  <c r="E1194"/>
  <c r="E559"/>
  <c r="E1414"/>
  <c r="E1307"/>
  <c r="E1187"/>
  <c r="E1297"/>
  <c r="E1385"/>
  <c r="E1266"/>
  <c r="E1014"/>
  <c r="E751"/>
  <c r="E587"/>
  <c r="E1035"/>
  <c r="E1013"/>
  <c r="E1408"/>
  <c r="E333"/>
  <c r="E722"/>
  <c r="E348"/>
  <c r="E1291"/>
  <c r="E518"/>
  <c r="E820"/>
  <c r="E1311"/>
  <c r="E1393"/>
  <c r="E1206"/>
  <c r="E960"/>
  <c r="E319"/>
  <c r="E55"/>
  <c r="E1134"/>
  <c r="E148"/>
  <c r="E301"/>
  <c r="E786"/>
  <c r="E592"/>
  <c r="E1431"/>
  <c r="E939"/>
  <c r="E579"/>
  <c r="E417"/>
  <c r="E96"/>
  <c r="E870"/>
  <c r="E220"/>
  <c r="E237"/>
  <c r="E1065"/>
  <c r="E1212"/>
  <c r="E448"/>
  <c r="E122"/>
  <c r="E635"/>
  <c r="E1070"/>
  <c r="E375"/>
  <c r="E276"/>
  <c r="E774"/>
  <c r="E681"/>
  <c r="E54"/>
  <c r="E365"/>
  <c r="E443"/>
  <c r="E121"/>
  <c r="E173"/>
  <c r="E466"/>
  <c r="E991"/>
  <c r="E948"/>
  <c r="E810"/>
  <c r="E855"/>
  <c r="E1340"/>
  <c r="E67"/>
  <c r="E454"/>
  <c r="E470"/>
  <c r="E1347"/>
  <c r="E1144"/>
  <c r="E779"/>
  <c r="E531"/>
  <c r="E102"/>
  <c r="E224"/>
  <c r="E1391"/>
  <c r="E72"/>
  <c r="E515"/>
  <c r="E519"/>
  <c r="E1106"/>
  <c r="E352"/>
  <c r="E53"/>
  <c r="E1241"/>
  <c r="E234"/>
  <c r="E498"/>
  <c r="E1336"/>
  <c r="E1480"/>
  <c r="E950"/>
  <c r="E1102"/>
  <c r="E1146"/>
  <c r="E52"/>
  <c r="E1416"/>
  <c r="E920"/>
  <c r="E1009"/>
  <c r="E201"/>
  <c r="E315"/>
  <c r="E910"/>
  <c r="E51"/>
  <c r="E247"/>
  <c r="E244"/>
  <c r="E381"/>
  <c r="E414"/>
  <c r="E523"/>
  <c r="E118"/>
  <c r="E964"/>
  <c r="E674"/>
  <c r="E1023"/>
  <c r="E553"/>
  <c r="E586"/>
  <c r="E909"/>
  <c r="E135"/>
  <c r="E879"/>
  <c r="E707"/>
  <c r="E618"/>
  <c r="E1479"/>
  <c r="E50"/>
  <c r="E990"/>
  <c r="E233"/>
  <c r="E597"/>
  <c r="E1063"/>
  <c r="E843"/>
  <c r="E831"/>
  <c r="E969"/>
  <c r="E1238"/>
  <c r="E309"/>
  <c r="E604"/>
  <c r="E922"/>
  <c r="E384"/>
  <c r="E846"/>
  <c r="E735"/>
  <c r="E484"/>
  <c r="E839"/>
  <c r="E1189"/>
  <c r="E1064"/>
  <c r="E1141"/>
  <c r="E659"/>
  <c r="E1403"/>
  <c r="E1226"/>
  <c r="E940"/>
  <c r="E652"/>
  <c r="E695"/>
  <c r="E491"/>
  <c r="E917"/>
  <c r="E1169"/>
  <c r="E763"/>
  <c r="E923"/>
  <c r="E1054"/>
  <c r="E1398"/>
  <c r="E1185"/>
  <c r="E324"/>
  <c r="E805"/>
  <c r="E1367"/>
  <c r="E842"/>
  <c r="E1133"/>
  <c r="E394"/>
  <c r="E1176"/>
  <c r="E755"/>
  <c r="E209"/>
  <c r="E335"/>
  <c r="E1203"/>
  <c r="E576"/>
  <c r="E1172"/>
  <c r="E452"/>
  <c r="E496"/>
  <c r="E473"/>
  <c r="E536"/>
  <c r="E230"/>
  <c r="E1360"/>
  <c r="E194"/>
  <c r="E1051"/>
  <c r="E155"/>
  <c r="E212"/>
  <c r="E422"/>
  <c r="E1049"/>
  <c r="E227"/>
  <c r="E927"/>
  <c r="E401"/>
  <c r="E76"/>
  <c r="E1478"/>
  <c r="E1198"/>
  <c r="E1001"/>
  <c r="E330"/>
  <c r="E1040"/>
  <c r="E154"/>
  <c r="E49"/>
  <c r="E475"/>
  <c r="E494"/>
  <c r="E216"/>
  <c r="E636"/>
  <c r="E750"/>
  <c r="E1150"/>
  <c r="E48"/>
  <c r="E1228"/>
  <c r="E47"/>
  <c r="E936"/>
  <c r="E1259"/>
  <c r="E1410"/>
  <c r="E1394"/>
  <c r="E645"/>
  <c r="E858"/>
  <c r="E1188"/>
  <c r="E993"/>
  <c r="E845"/>
  <c r="E46"/>
  <c r="E1424"/>
  <c r="E166"/>
  <c r="E400"/>
  <c r="E1305"/>
  <c r="E1320"/>
  <c r="E907"/>
  <c r="E1359"/>
  <c r="E262"/>
  <c r="E187"/>
  <c r="E853"/>
  <c r="E45"/>
  <c r="E1030"/>
  <c r="E1123"/>
  <c r="E440"/>
  <c r="E709"/>
  <c r="E239"/>
  <c r="E1140"/>
  <c r="E44"/>
  <c r="E1004"/>
  <c r="E488"/>
  <c r="E740"/>
  <c r="E847"/>
  <c r="E1267"/>
  <c r="E733"/>
  <c r="E913"/>
  <c r="E972"/>
  <c r="E1268"/>
  <c r="E548"/>
  <c r="E43"/>
  <c r="E1365"/>
  <c r="E775"/>
  <c r="E127"/>
  <c r="E912"/>
  <c r="E1400"/>
  <c r="E781"/>
  <c r="E112"/>
  <c r="E105"/>
  <c r="E196"/>
  <c r="E353"/>
  <c r="E1164"/>
  <c r="E1097"/>
  <c r="E1356"/>
  <c r="E1275"/>
  <c r="E667"/>
  <c r="E591"/>
  <c r="E932"/>
  <c r="E788"/>
  <c r="E677"/>
  <c r="E701"/>
  <c r="E915"/>
  <c r="E595"/>
  <c r="E714"/>
  <c r="E1477"/>
  <c r="E176"/>
  <c r="E1362"/>
  <c r="E451"/>
  <c r="E261"/>
  <c r="E1077"/>
  <c r="E1205"/>
  <c r="E611"/>
  <c r="E226"/>
  <c r="E185"/>
  <c r="E485"/>
  <c r="E387"/>
  <c r="E174"/>
  <c r="E1204"/>
  <c r="E150"/>
  <c r="E371"/>
  <c r="E99"/>
  <c r="E474"/>
  <c r="E86"/>
  <c r="E88"/>
  <c r="E1110"/>
  <c r="E1379"/>
  <c r="E357"/>
  <c r="E42"/>
  <c r="E783"/>
  <c r="E192"/>
  <c r="E312"/>
  <c r="E41"/>
  <c r="E126"/>
  <c r="E585"/>
  <c r="E1337"/>
  <c r="E119"/>
  <c r="E800"/>
  <c r="E1343"/>
  <c r="E40"/>
  <c r="E778"/>
  <c r="E1042"/>
  <c r="E712"/>
  <c r="E178"/>
  <c r="E200"/>
  <c r="E1207"/>
  <c r="E249"/>
  <c r="E326"/>
  <c r="E415"/>
  <c r="E117"/>
  <c r="E501"/>
  <c r="E503"/>
  <c r="E675"/>
  <c r="E851"/>
  <c r="E153"/>
  <c r="E198"/>
  <c r="E1390"/>
  <c r="E369"/>
  <c r="E149"/>
  <c r="E631"/>
  <c r="E627"/>
  <c r="E1062"/>
  <c r="E975"/>
  <c r="E970"/>
  <c r="E629"/>
  <c r="E92"/>
  <c r="E875"/>
  <c r="E1287"/>
  <c r="E642"/>
  <c r="E334"/>
  <c r="E39"/>
  <c r="E1086"/>
  <c r="E685"/>
  <c r="E1298"/>
  <c r="E918"/>
  <c r="E441"/>
  <c r="E100"/>
  <c r="E648"/>
  <c r="E1129"/>
  <c r="E1242"/>
  <c r="E429"/>
  <c r="E1476"/>
  <c r="E569"/>
  <c r="E367"/>
  <c r="E1315"/>
  <c r="E1021"/>
  <c r="E1349"/>
  <c r="E1395"/>
  <c r="E1475"/>
  <c r="E640"/>
  <c r="E431"/>
  <c r="E793"/>
  <c r="E439"/>
  <c r="E669"/>
  <c r="E703"/>
  <c r="E543"/>
  <c r="E444"/>
  <c r="E1474"/>
  <c r="E1335"/>
  <c r="E671"/>
  <c r="E1300"/>
  <c r="E63"/>
  <c r="E902"/>
  <c r="E544"/>
  <c r="E116"/>
  <c r="E1209"/>
  <c r="E1155"/>
  <c r="E161"/>
  <c r="E942"/>
  <c r="E291"/>
  <c r="E715"/>
  <c r="E1473"/>
  <c r="E251"/>
  <c r="E388"/>
  <c r="E229"/>
  <c r="E1162"/>
  <c r="E1052"/>
  <c r="E79"/>
  <c r="E614"/>
  <c r="E639"/>
  <c r="E698"/>
  <c r="E710"/>
  <c r="E1157"/>
  <c r="E1472"/>
  <c r="E146"/>
  <c r="E307"/>
  <c r="E482"/>
  <c r="E623"/>
  <c r="E495"/>
  <c r="E337"/>
  <c r="E1220"/>
  <c r="E38"/>
  <c r="E796"/>
  <c r="E332"/>
  <c r="E836"/>
  <c r="E1289"/>
  <c r="E1121"/>
  <c r="E743"/>
  <c r="E432"/>
  <c r="E114"/>
  <c r="E71"/>
  <c r="E690"/>
  <c r="E156"/>
  <c r="E143"/>
  <c r="E37"/>
  <c r="E399"/>
  <c r="E628"/>
  <c r="E589"/>
  <c r="E588"/>
  <c r="E745"/>
  <c r="E36"/>
  <c r="E1257"/>
  <c r="E1319"/>
  <c r="E1342"/>
  <c r="E613"/>
  <c r="E769"/>
  <c r="E1388"/>
  <c r="E554"/>
  <c r="E876"/>
  <c r="E766"/>
  <c r="E1234"/>
  <c r="E1114"/>
  <c r="E1371"/>
  <c r="E1142"/>
  <c r="E1369"/>
  <c r="E664"/>
  <c r="E564"/>
  <c r="E1341"/>
  <c r="E1068"/>
  <c r="E408"/>
  <c r="E954"/>
  <c r="E1168"/>
  <c r="E1422"/>
  <c r="E764"/>
  <c r="E1159"/>
  <c r="E1003"/>
  <c r="E811"/>
  <c r="E1471"/>
  <c r="E1303"/>
  <c r="E1399"/>
  <c r="E1087"/>
  <c r="E956"/>
  <c r="E1470"/>
  <c r="E378"/>
  <c r="E35"/>
  <c r="E1262"/>
  <c r="E468"/>
  <c r="E673"/>
  <c r="E1041"/>
  <c r="E1378"/>
  <c r="E280"/>
  <c r="E835"/>
  <c r="E959"/>
  <c r="E849"/>
  <c r="E1250"/>
  <c r="E995"/>
  <c r="E530"/>
  <c r="E866"/>
  <c r="E34"/>
  <c r="E1331"/>
  <c r="E1263"/>
  <c r="E978"/>
  <c r="E856"/>
  <c r="E391"/>
  <c r="E368"/>
  <c r="E70"/>
  <c r="E221"/>
  <c r="E742"/>
  <c r="E535"/>
  <c r="E1256"/>
  <c r="E1027"/>
  <c r="E1044"/>
  <c r="E1402"/>
  <c r="E1230"/>
  <c r="E1074"/>
  <c r="E1012"/>
  <c r="E984"/>
  <c r="E1079"/>
  <c r="E864"/>
  <c r="E566"/>
  <c r="E113"/>
  <c r="E829"/>
  <c r="E1354"/>
  <c r="E1225"/>
  <c r="E1105"/>
  <c r="E688"/>
  <c r="E702"/>
  <c r="E638"/>
  <c r="E256"/>
  <c r="E987"/>
  <c r="E1290"/>
  <c r="E1292"/>
  <c r="E1116"/>
  <c r="E854"/>
  <c r="E350"/>
  <c r="E370"/>
  <c r="E115"/>
  <c r="E951"/>
  <c r="E691"/>
  <c r="E382"/>
  <c r="E33"/>
  <c r="E467"/>
  <c r="E284"/>
  <c r="E696"/>
  <c r="E197"/>
  <c r="E819"/>
  <c r="E1469"/>
  <c r="E963"/>
  <c r="E982"/>
  <c r="E152"/>
  <c r="E1468"/>
  <c r="E1191"/>
  <c r="E331"/>
  <c r="E487"/>
  <c r="E1329"/>
  <c r="E1214"/>
  <c r="E903"/>
  <c r="E1467"/>
  <c r="E541"/>
  <c r="E1108"/>
  <c r="E1264"/>
  <c r="E725"/>
  <c r="E1104"/>
  <c r="E180"/>
  <c r="E1466"/>
  <c r="E1465"/>
  <c r="E248"/>
  <c r="E500"/>
  <c r="E795"/>
  <c r="E434"/>
  <c r="E526"/>
  <c r="E657"/>
  <c r="E479"/>
  <c r="E469"/>
  <c r="E647"/>
  <c r="E1280"/>
  <c r="E275"/>
  <c r="E1405"/>
  <c r="E1326"/>
  <c r="E1139"/>
  <c r="E524"/>
  <c r="E1333"/>
  <c r="E787"/>
  <c r="E1037"/>
  <c r="E1033"/>
  <c r="E785"/>
  <c r="E584"/>
  <c r="E411"/>
  <c r="E560"/>
  <c r="E1026"/>
  <c r="E1464"/>
  <c r="E1181"/>
  <c r="E593"/>
  <c r="E532"/>
  <c r="E630"/>
  <c r="E246"/>
  <c r="E700"/>
  <c r="E888"/>
  <c r="E1312"/>
  <c r="E362"/>
  <c r="E594"/>
  <c r="E1053"/>
  <c r="E660"/>
  <c r="E621"/>
  <c r="E1417"/>
  <c r="E1294"/>
  <c r="E1113"/>
  <c r="E792"/>
  <c r="E32"/>
  <c r="E807"/>
  <c r="E31"/>
  <c r="E30"/>
  <c r="E151"/>
  <c r="E1232"/>
  <c r="E258"/>
  <c r="E862"/>
  <c r="E998"/>
  <c r="E968"/>
  <c r="E360"/>
  <c r="E1166"/>
  <c r="E1423"/>
  <c r="E1463"/>
  <c r="E1462"/>
  <c r="E1461"/>
  <c r="E1460"/>
  <c r="E389"/>
  <c r="E29"/>
  <c r="E737"/>
  <c r="E1429"/>
  <c r="E1459"/>
  <c r="E1375"/>
  <c r="E1321"/>
  <c r="E1282"/>
  <c r="E1458"/>
  <c r="E1409"/>
  <c r="E1301"/>
  <c r="E1457"/>
  <c r="E729"/>
  <c r="E1199"/>
  <c r="E1456"/>
  <c r="E1058"/>
  <c r="E1455"/>
  <c r="E416"/>
  <c r="E1278"/>
  <c r="E1010"/>
  <c r="E1404"/>
  <c r="E1376"/>
  <c r="E1454"/>
  <c r="E1453"/>
  <c r="E1318"/>
  <c r="E1407"/>
  <c r="E930"/>
  <c r="E1316"/>
  <c r="E1334"/>
  <c r="E267"/>
  <c r="E804"/>
  <c r="E1325"/>
  <c r="E1235"/>
  <c r="E1348"/>
  <c r="E1061"/>
  <c r="E1227"/>
  <c r="E1452"/>
  <c r="E1415"/>
  <c r="E1036"/>
  <c r="E1413"/>
  <c r="E758"/>
  <c r="E1031"/>
  <c r="E1346"/>
  <c r="E294"/>
  <c r="E252"/>
  <c r="E1174"/>
  <c r="E175"/>
  <c r="E308"/>
  <c r="E78"/>
  <c r="E134"/>
  <c r="E568"/>
  <c r="E265"/>
  <c r="E753"/>
  <c r="E1252"/>
  <c r="E409"/>
  <c r="E1279"/>
  <c r="E1072"/>
  <c r="E1382"/>
  <c r="E1120"/>
  <c r="E1246"/>
  <c r="E765"/>
  <c r="E646"/>
  <c r="E738"/>
  <c r="E169"/>
  <c r="E997"/>
  <c r="E616"/>
  <c r="E728"/>
  <c r="E1022"/>
  <c r="E821"/>
  <c r="E317"/>
  <c r="E1384"/>
  <c r="E497"/>
  <c r="E1451"/>
  <c r="E943"/>
  <c r="E449"/>
  <c r="E686"/>
  <c r="E1178"/>
  <c r="E693"/>
  <c r="E436"/>
  <c r="E1255"/>
  <c r="E1098"/>
  <c r="E28"/>
  <c r="E632"/>
  <c r="E605"/>
  <c r="E1096"/>
  <c r="E1156"/>
  <c r="E504"/>
  <c r="E1032"/>
  <c r="E1082"/>
  <c r="E1366"/>
  <c r="E272"/>
  <c r="E513"/>
  <c r="E694"/>
  <c r="E293"/>
  <c r="E202"/>
  <c r="E844"/>
  <c r="E985"/>
  <c r="E798"/>
  <c r="E929"/>
  <c r="E1213"/>
  <c r="E97"/>
  <c r="E1152"/>
  <c r="E672"/>
  <c r="E445"/>
  <c r="E73"/>
  <c r="E1089"/>
  <c r="E670"/>
  <c r="E542"/>
  <c r="E908"/>
  <c r="E924"/>
  <c r="E780"/>
  <c r="E1285"/>
  <c r="E120"/>
  <c r="E580"/>
  <c r="E1048"/>
  <c r="E1029"/>
  <c r="E460"/>
  <c r="E1293"/>
  <c r="E403"/>
  <c r="E215"/>
  <c r="E1339"/>
  <c r="E953"/>
  <c r="E188"/>
  <c r="E393"/>
  <c r="E1005"/>
  <c r="E830"/>
  <c r="E1190"/>
  <c r="E199"/>
  <c r="E373"/>
  <c r="E407"/>
  <c r="E679"/>
  <c r="E937"/>
  <c r="E1245"/>
  <c r="E349"/>
  <c r="E1450"/>
  <c r="E412"/>
  <c r="E547"/>
  <c r="E676"/>
  <c r="E1171"/>
  <c r="E191"/>
  <c r="E935"/>
  <c r="E1419"/>
  <c r="E339"/>
  <c r="E1210"/>
  <c r="E687"/>
  <c r="E603"/>
  <c r="E561"/>
  <c r="E1182"/>
  <c r="E825"/>
  <c r="E340"/>
  <c r="E734"/>
  <c r="E833"/>
  <c r="E27"/>
  <c r="E1056"/>
  <c r="E905"/>
  <c r="E859"/>
  <c r="E1258"/>
  <c r="E1125"/>
  <c r="E746"/>
  <c r="E546"/>
  <c r="E133"/>
  <c r="E160"/>
  <c r="E852"/>
  <c r="E1163"/>
  <c r="E26"/>
  <c r="E850"/>
  <c r="E916"/>
  <c r="E988"/>
  <c r="E1192"/>
  <c r="E1091"/>
  <c r="E25"/>
  <c r="E885"/>
  <c r="E528"/>
  <c r="E622"/>
  <c r="E420"/>
  <c r="E289"/>
  <c r="E808"/>
  <c r="E430"/>
  <c r="E1202"/>
  <c r="E617"/>
  <c r="E1195"/>
  <c r="E777"/>
  <c r="E601"/>
  <c r="E273"/>
  <c r="E891"/>
  <c r="E404"/>
  <c r="E718"/>
  <c r="E24"/>
  <c r="E30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2"/>
  <c r="H673"/>
  <c r="H674"/>
  <c r="H675"/>
  <c r="H676"/>
  <c r="H677"/>
  <c r="H678"/>
  <c r="H679"/>
  <c r="E225" i="3" l="1"/>
  <c r="E385"/>
  <c r="E994"/>
  <c r="E892"/>
  <c r="E624"/>
  <c r="E1128"/>
  <c r="E529"/>
  <c r="E683"/>
  <c r="E961"/>
  <c r="E1094"/>
  <c r="E739"/>
  <c r="E1186"/>
  <c r="E901"/>
  <c r="E522"/>
  <c r="E1160"/>
  <c r="E897"/>
  <c r="E310"/>
  <c r="E81"/>
  <c r="E421"/>
  <c r="E80"/>
  <c r="E565"/>
  <c r="E109"/>
  <c r="E1389"/>
  <c r="E318"/>
  <c r="E612"/>
  <c r="E1281"/>
  <c r="E195"/>
  <c r="E509"/>
  <c r="E1304"/>
  <c r="E840"/>
  <c r="E577"/>
  <c r="E1381"/>
  <c r="E351"/>
  <c r="E168"/>
  <c r="E517"/>
  <c r="E395"/>
  <c r="E1269"/>
  <c r="E756"/>
  <c r="E366"/>
  <c r="E338"/>
  <c r="E425"/>
  <c r="E426"/>
  <c r="E1039"/>
  <c r="E824"/>
  <c r="E865"/>
  <c r="E555"/>
  <c r="E240"/>
  <c r="E302"/>
  <c r="E1439"/>
  <c r="E1330"/>
  <c r="E1283"/>
  <c r="E944"/>
  <c r="E883"/>
  <c r="E834"/>
  <c r="E214"/>
  <c r="E1131"/>
  <c r="E692"/>
  <c r="E281"/>
  <c r="E578"/>
  <c r="E193"/>
  <c r="E832"/>
  <c r="E538"/>
  <c r="E1109"/>
  <c r="E321"/>
  <c r="E934"/>
  <c r="E1132"/>
  <c r="E322"/>
  <c r="E512"/>
  <c r="E438"/>
  <c r="E253"/>
  <c r="E493"/>
  <c r="E241"/>
  <c r="E882"/>
  <c r="E986"/>
  <c r="E741"/>
  <c r="E828"/>
  <c r="E266"/>
  <c r="E955"/>
  <c r="E957"/>
  <c r="E327"/>
  <c r="E1179"/>
  <c r="E884"/>
  <c r="E299"/>
  <c r="E139"/>
  <c r="E650"/>
  <c r="E1387"/>
  <c r="E481"/>
  <c r="E894"/>
  <c r="E486"/>
  <c r="E107"/>
  <c r="E607"/>
  <c r="E140"/>
  <c r="E77"/>
  <c r="E478"/>
  <c r="E9"/>
  <c r="E8"/>
  <c r="E437"/>
  <c r="E890"/>
  <c r="E711"/>
  <c r="E822"/>
  <c r="E242"/>
  <c r="E75"/>
  <c r="E572"/>
  <c r="E236"/>
  <c r="E231"/>
  <c r="E537"/>
  <c r="E716"/>
  <c r="E1438"/>
  <c r="E1411"/>
  <c r="E1183"/>
  <c r="E1167"/>
  <c r="E181"/>
  <c r="E658"/>
  <c r="E946"/>
  <c r="E809"/>
  <c r="E919"/>
  <c r="E110"/>
  <c r="E967"/>
  <c r="E925"/>
  <c r="E713"/>
  <c r="E941"/>
  <c r="E1050"/>
  <c r="E1272"/>
  <c r="E570"/>
  <c r="E124"/>
  <c r="E1368"/>
  <c r="E1107"/>
  <c r="E816"/>
  <c r="E213"/>
  <c r="E283"/>
  <c r="E223"/>
  <c r="E447"/>
  <c r="E1244"/>
  <c r="E899"/>
  <c r="E1083"/>
  <c r="E91"/>
  <c r="E1222"/>
  <c r="E771"/>
  <c r="E1306"/>
  <c r="E921"/>
  <c r="E708"/>
  <c r="E600"/>
  <c r="E1332"/>
  <c r="E838"/>
  <c r="E857"/>
  <c r="E520"/>
  <c r="E1427"/>
  <c r="E552"/>
  <c r="E556"/>
  <c r="E533"/>
  <c r="E325"/>
  <c r="E1295"/>
  <c r="E869"/>
  <c r="E655"/>
  <c r="E359"/>
  <c r="E643"/>
  <c r="E1002"/>
  <c r="E668"/>
  <c r="E141"/>
  <c r="E372"/>
  <c r="E1196"/>
  <c r="E581"/>
  <c r="E1034"/>
  <c r="E958"/>
  <c r="E345"/>
  <c r="E286"/>
  <c r="E516"/>
  <c r="E1426"/>
  <c r="E911"/>
  <c r="E678"/>
  <c r="E158"/>
  <c r="E1145"/>
  <c r="E68"/>
  <c r="E887"/>
  <c r="E499"/>
  <c r="E801"/>
  <c r="E464"/>
  <c r="E510"/>
  <c r="E757"/>
  <c r="E18"/>
  <c r="E15"/>
  <c r="E933"/>
  <c r="E1184"/>
  <c r="E573"/>
  <c r="E602"/>
  <c r="E177"/>
  <c r="E1119"/>
  <c r="E1274"/>
  <c r="E1135"/>
  <c r="E567"/>
  <c r="E128"/>
  <c r="E292"/>
  <c r="E90"/>
  <c r="E142"/>
  <c r="E442"/>
  <c r="E1440"/>
  <c r="E506"/>
  <c r="E799"/>
  <c r="E145"/>
  <c r="E721"/>
  <c r="E539"/>
  <c r="E1286"/>
  <c r="E1247"/>
  <c r="E1180"/>
  <c r="E5"/>
  <c r="E457"/>
  <c r="E144"/>
  <c r="E1433"/>
  <c r="E483"/>
  <c r="E806"/>
  <c r="E1016"/>
  <c r="E1137"/>
  <c r="E906"/>
  <c r="E255"/>
  <c r="E82"/>
  <c r="E803"/>
  <c r="E354"/>
  <c r="E895"/>
  <c r="E1085"/>
  <c r="E238"/>
  <c r="E981"/>
  <c r="E218"/>
  <c r="E606"/>
  <c r="E17"/>
  <c r="E1355"/>
  <c r="E374"/>
  <c r="E1024"/>
  <c r="E22"/>
  <c r="E314"/>
  <c r="E1158"/>
  <c r="E1081"/>
  <c r="E455"/>
  <c r="E87"/>
  <c r="E123"/>
  <c r="E257"/>
  <c r="E163"/>
  <c r="E1148"/>
  <c r="E1397"/>
  <c r="E996"/>
  <c r="E1008"/>
  <c r="E1444"/>
  <c r="E1066"/>
  <c r="E1080"/>
  <c r="E14"/>
  <c r="E1126"/>
  <c r="E599"/>
  <c r="E608"/>
  <c r="E871"/>
  <c r="E582"/>
  <c r="E379"/>
  <c r="E376"/>
  <c r="E1345"/>
  <c r="E797"/>
  <c r="E761"/>
  <c r="E328"/>
  <c r="E210"/>
  <c r="E720"/>
  <c r="E1115"/>
  <c r="E380"/>
  <c r="E662"/>
  <c r="E878"/>
  <c r="E84"/>
  <c r="E1441"/>
  <c r="E313"/>
  <c r="E471"/>
  <c r="E545"/>
  <c r="E1353"/>
  <c r="E405"/>
  <c r="E190"/>
  <c r="E245"/>
  <c r="E1284"/>
  <c r="E661"/>
  <c r="E1328"/>
  <c r="E1149"/>
  <c r="E563"/>
  <c r="E7"/>
  <c r="E131"/>
  <c r="E290"/>
  <c r="E575"/>
  <c r="E186"/>
  <c r="E971"/>
  <c r="E358"/>
  <c r="E893"/>
  <c r="E6"/>
  <c r="E1095"/>
  <c r="E979"/>
  <c r="E826"/>
  <c r="E329"/>
  <c r="E514"/>
  <c r="E159"/>
  <c r="E64"/>
  <c r="E505"/>
  <c r="E463"/>
  <c r="E723"/>
  <c r="E288"/>
  <c r="E665"/>
  <c r="E435"/>
  <c r="E651"/>
  <c r="E615"/>
  <c r="E699"/>
  <c r="E1073"/>
  <c r="E1361"/>
  <c r="E1373"/>
  <c r="E465"/>
  <c r="E1217"/>
  <c r="E817"/>
  <c r="E873"/>
  <c r="E1177"/>
  <c r="E1218"/>
  <c r="E1060"/>
  <c r="E1028"/>
  <c r="E1071"/>
  <c r="E1000"/>
  <c r="E1432"/>
  <c r="E1211"/>
  <c r="E827"/>
  <c r="E250"/>
  <c r="E974"/>
  <c r="E300"/>
  <c r="E748"/>
  <c r="E744"/>
  <c r="E928"/>
  <c r="E1240"/>
  <c r="E129"/>
  <c r="E182"/>
  <c r="E1265"/>
  <c r="E170"/>
  <c r="E1236"/>
  <c r="E791"/>
  <c r="E492"/>
  <c r="E23"/>
  <c r="E285"/>
  <c r="E551"/>
  <c r="E184"/>
  <c r="E472"/>
  <c r="E125"/>
  <c r="E1011"/>
  <c r="E540"/>
  <c r="E347"/>
  <c r="E1270"/>
  <c r="E183"/>
  <c r="E19"/>
  <c r="E1350"/>
  <c r="E1447"/>
  <c r="E356"/>
  <c r="E268"/>
  <c r="E1224"/>
  <c r="E69"/>
  <c r="E666"/>
  <c r="E208"/>
  <c r="E446"/>
  <c r="E1313"/>
  <c r="E762"/>
  <c r="E1078"/>
  <c r="E320"/>
  <c r="E1377"/>
  <c r="E1059"/>
  <c r="E489"/>
  <c r="E574"/>
  <c r="E1425"/>
  <c r="E1055"/>
  <c r="E85"/>
  <c r="E863"/>
  <c r="E1392"/>
  <c r="E243"/>
  <c r="E626"/>
  <c r="E66"/>
  <c r="E881"/>
  <c r="E1260"/>
  <c r="E298"/>
  <c r="E813"/>
  <c r="E1043"/>
  <c r="E1396"/>
  <c r="E1069"/>
  <c r="E1430"/>
  <c r="E1323"/>
  <c r="E279"/>
  <c r="E16"/>
  <c r="E872"/>
  <c r="E1092"/>
  <c r="E101"/>
  <c r="E295"/>
  <c r="E219"/>
  <c r="E383"/>
  <c r="E782"/>
  <c r="E992"/>
  <c r="E697"/>
  <c r="E13"/>
  <c r="E274"/>
  <c r="E1138"/>
  <c r="E304"/>
  <c r="E1124"/>
  <c r="E94"/>
  <c r="E1442"/>
  <c r="E410"/>
  <c r="E413"/>
  <c r="E989"/>
  <c r="E204"/>
  <c r="E296"/>
  <c r="E508"/>
  <c r="E867"/>
  <c r="E106"/>
  <c r="E502"/>
  <c r="E776"/>
  <c r="E476"/>
  <c r="E95"/>
  <c r="E749"/>
  <c r="E980"/>
  <c r="E1200"/>
  <c r="E277"/>
  <c r="E952"/>
  <c r="E427"/>
  <c r="E1418"/>
  <c r="E157"/>
  <c r="E98"/>
  <c r="E705"/>
  <c r="E1057"/>
  <c r="E1314"/>
  <c r="E732"/>
  <c r="E1344"/>
  <c r="E815"/>
  <c r="E1351"/>
  <c r="E770"/>
  <c r="E759"/>
  <c r="E1358"/>
  <c r="E111"/>
  <c r="E938"/>
  <c r="E747"/>
  <c r="E633"/>
  <c r="E4"/>
  <c r="E898"/>
  <c r="E653"/>
  <c r="E1383"/>
  <c r="E428"/>
  <c r="E868"/>
  <c r="E1372"/>
  <c r="E1175"/>
  <c r="E900"/>
  <c r="E271"/>
  <c r="E1249"/>
  <c r="E656"/>
  <c r="E1127"/>
  <c r="E549"/>
  <c r="E3"/>
  <c r="E1412"/>
  <c r="E886"/>
  <c r="E973"/>
  <c r="E558"/>
  <c r="E525"/>
  <c r="E976"/>
  <c r="E1299"/>
  <c r="E1147"/>
  <c r="E346"/>
  <c r="E772"/>
  <c r="E205"/>
  <c r="E167"/>
  <c r="E1216"/>
  <c r="E784"/>
  <c r="E654"/>
  <c r="E89"/>
  <c r="E977"/>
  <c r="E316"/>
  <c r="E1446"/>
  <c r="E1271"/>
  <c r="E203"/>
  <c r="E1161"/>
  <c r="E1380"/>
  <c r="E342"/>
  <c r="E1170"/>
  <c r="E297"/>
  <c r="E521"/>
  <c r="E103"/>
  <c r="E1122"/>
  <c r="E361"/>
  <c r="E138"/>
  <c r="E1357"/>
  <c r="E609"/>
  <c r="E147"/>
  <c r="E949"/>
  <c r="E1435"/>
  <c r="E1007"/>
  <c r="E355"/>
  <c r="E1243"/>
  <c r="E162"/>
  <c r="E727"/>
  <c r="E860"/>
  <c r="E1364"/>
  <c r="E235"/>
  <c r="E1090"/>
  <c r="E1428"/>
  <c r="E1197"/>
  <c r="E406"/>
  <c r="E1118"/>
  <c r="E1445"/>
  <c r="E1443"/>
  <c r="E1103"/>
  <c r="E1317"/>
  <c r="E962"/>
  <c r="E1019"/>
  <c r="E490"/>
  <c r="E456"/>
  <c r="E1277"/>
  <c r="E21"/>
  <c r="E1221"/>
  <c r="E1208"/>
  <c r="E1448"/>
  <c r="E719"/>
  <c r="E557"/>
  <c r="E717"/>
  <c r="E433"/>
  <c r="E1154"/>
  <c r="E172"/>
  <c r="E458"/>
  <c r="E848"/>
  <c r="E1288"/>
  <c r="E841"/>
  <c r="E83"/>
  <c r="E726"/>
  <c r="E1253"/>
  <c r="E20"/>
  <c r="E1449"/>
  <c r="E1233"/>
  <c r="E689"/>
  <c r="E802"/>
  <c r="E1229"/>
  <c r="E1100"/>
  <c r="E1254"/>
  <c r="E287"/>
  <c r="E65"/>
  <c r="E590"/>
  <c r="E637"/>
  <c r="E461"/>
  <c r="E1076"/>
  <c r="E1215"/>
  <c r="E1173"/>
  <c r="E684"/>
  <c r="E1421"/>
  <c r="E1237"/>
  <c r="E480"/>
  <c r="E789"/>
  <c r="E1401"/>
  <c r="E1067"/>
  <c r="E165"/>
  <c r="E904"/>
  <c r="E1093"/>
  <c r="E260"/>
  <c r="E965"/>
  <c r="E945"/>
  <c r="E93"/>
  <c r="E1117"/>
  <c r="E206"/>
  <c r="E663"/>
  <c r="E1101"/>
  <c r="E812"/>
  <c r="E453"/>
  <c r="E1025"/>
  <c r="E132"/>
  <c r="E1261"/>
  <c r="E1045"/>
  <c r="E398"/>
  <c r="E136"/>
  <c r="E269"/>
  <c r="E966"/>
  <c r="E550"/>
  <c r="E768"/>
  <c r="E74"/>
  <c r="E1322"/>
  <c r="E222"/>
  <c r="E179"/>
  <c r="E1231"/>
  <c r="E641"/>
  <c r="E12"/>
  <c r="E814"/>
  <c r="E108"/>
  <c r="E363"/>
  <c r="E1338"/>
  <c r="E459"/>
  <c r="E306"/>
  <c r="E171"/>
  <c r="E11"/>
  <c r="E706"/>
  <c r="E10"/>
  <c r="E889"/>
  <c r="E263"/>
  <c r="E189"/>
  <c r="E1111"/>
  <c r="E1374"/>
  <c r="E760"/>
  <c r="E914"/>
  <c r="E1006"/>
  <c r="E1308"/>
  <c r="E1251"/>
  <c r="E377"/>
  <c r="E343"/>
  <c r="E130"/>
  <c r="E254"/>
  <c r="E419"/>
  <c r="E1327"/>
  <c r="E571"/>
  <c r="E1437"/>
  <c r="E731"/>
  <c r="E217"/>
  <c r="E1436"/>
  <c r="E1136"/>
  <c r="E1309"/>
  <c r="E1324"/>
  <c r="E207"/>
  <c r="E837"/>
  <c r="E752"/>
  <c r="E1296"/>
  <c r="E931"/>
  <c r="E1099"/>
  <c r="E983"/>
  <c r="E644"/>
  <c r="E364"/>
  <c r="E423"/>
  <c r="E818"/>
  <c r="E270"/>
  <c r="E282"/>
  <c r="E625"/>
  <c r="E1047"/>
  <c r="E680"/>
  <c r="E1434"/>
  <c r="E1084"/>
  <c r="E278"/>
  <c r="E880"/>
  <c r="E619"/>
  <c r="E137"/>
  <c r="E392"/>
  <c r="E344"/>
  <c r="E1018"/>
  <c r="E390"/>
  <c r="J46" i="8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E596" i="3" l="1"/>
  <c r="E704"/>
  <c r="E104"/>
  <c r="E1370"/>
  <c r="E877"/>
  <c r="E634"/>
  <c r="E1151"/>
  <c r="E228"/>
  <c r="E2"/>
  <c r="E341"/>
  <c r="E1248"/>
  <c r="E323"/>
  <c r="E649"/>
  <c r="E610"/>
  <c r="E336"/>
  <c r="E926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G1"/>
  <c r="F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<sst xmlns="http://schemas.openxmlformats.org/spreadsheetml/2006/main" count="4654" uniqueCount="2063">
  <si>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</si>
  <si>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</si>
  <si>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</si>
  <si>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</si>
  <si>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</si>
  <si>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</si>
  <si>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</si>
  <si>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</si>
  <si>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</si>
  <si>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</si>
  <si>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</si>
  <si>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</si>
  <si>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</si>
  <si>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</si>
  <si>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</si>
  <si>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</si>
  <si>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</si>
  <si>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</si>
  <si>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</si>
  <si>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</si>
  <si>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</si>
  <si>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</si>
  <si>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</si>
  <si>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</si>
  <si>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</si>
  <si>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</si>
  <si>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</si>
  <si>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</si>
  <si>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</si>
  <si>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</si>
  <si>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</si>
  <si>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</si>
  <si>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</si>
  <si>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</si>
  <si>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</si>
  <si>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</si>
  <si>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</si>
  <si>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</si>
  <si>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</si>
  <si>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</si>
  <si>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</si>
  <si>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</si>
  <si>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</si>
  <si>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</si>
  <si>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</si>
  <si>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</si>
  <si>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</si>
  <si>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</si>
  <si>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</si>
  <si>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</si>
  <si>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</si>
  <si>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</si>
  <si>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</si>
  <si>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</si>
  <si>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</si>
  <si>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</si>
  <si>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</si>
  <si>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</si>
  <si>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</si>
  <si>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</si>
  <si>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</si>
  <si>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</si>
  <si>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</si>
  <si>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</si>
  <si>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</si>
  <si>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</si>
  <si>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</si>
  <si>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</si>
  <si>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</si>
  <si>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</si>
  <si>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</si>
  <si>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</si>
  <si>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</si>
  <si>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</si>
  <si>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</si>
  <si>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</si>
  <si>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</si>
  <si>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</si>
  <si>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</si>
  <si>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</si>
  <si>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</si>
  <si>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</si>
  <si>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</si>
  <si>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</si>
  <si>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</si>
  <si>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</si>
  <si>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</si>
  <si>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</si>
  <si>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</si>
  <si>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</si>
  <si>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</si>
  <si>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</si>
  <si>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</si>
  <si>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</si>
  <si>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</si>
  <si>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</si>
  <si>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</si>
  <si>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</si>
  <si>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</si>
  <si>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</si>
  <si>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</si>
  <si>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</si>
  <si>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</si>
  <si>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</si>
  <si>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</si>
  <si>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</si>
  <si>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</si>
  <si>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</si>
  <si>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</si>
  <si>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</si>
  <si>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</si>
  <si>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</si>
  <si>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</si>
  <si>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</si>
  <si>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</si>
  <si>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</si>
  <si>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</si>
  <si>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</si>
  <si>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</si>
  <si>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</si>
  <si>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</si>
  <si>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</si>
  <si>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</si>
  <si>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</si>
  <si>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</si>
  <si>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</si>
  <si>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</si>
  <si>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</si>
  <si>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</si>
  <si>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</si>
  <si>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</si>
  <si>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</si>
  <si>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</si>
  <si>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</si>
  <si>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</si>
  <si>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</si>
  <si>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</si>
  <si>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</si>
  <si>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</si>
  <si>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</si>
  <si>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</si>
  <si>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</si>
  <si>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</si>
  <si>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</si>
  <si>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</si>
  <si>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</si>
  <si>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</si>
  <si>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</si>
  <si>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</si>
  <si>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</si>
  <si>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</si>
  <si>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</si>
  <si>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</si>
  <si>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</si>
  <si>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</si>
  <si>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</si>
  <si>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</si>
  <si>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</si>
  <si>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</si>
  <si>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</si>
  <si>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</si>
  <si>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</si>
  <si>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</si>
  <si>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</si>
  <si>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</si>
  <si>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</si>
  <si>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</si>
  <si>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</si>
  <si>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</si>
  <si>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</si>
  <si>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</si>
  <si>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</si>
  <si>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</si>
  <si>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</si>
  <si>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</si>
  <si>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</si>
  <si>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</si>
  <si>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</si>
  <si>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</si>
  <si>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</si>
  <si>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</si>
  <si>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</si>
  <si>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</si>
  <si>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</si>
  <si>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</si>
  <si>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</si>
  <si>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</si>
  <si>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</si>
  <si>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</si>
  <si>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</si>
  <si>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</si>
  <si>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</si>
  <si>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</si>
  <si>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</si>
  <si>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</si>
  <si>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</si>
  <si>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</si>
  <si>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</si>
  <si>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</si>
  <si>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</si>
  <si>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</si>
  <si>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</si>
  <si>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</si>
  <si>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</si>
  <si>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</si>
  <si>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</si>
  <si>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</si>
  <si>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</si>
  <si>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</si>
  <si>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</si>
  <si>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</si>
  <si>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</si>
  <si>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</si>
  <si>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</si>
  <si>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</si>
  <si>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</si>
  <si>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</si>
  <si>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</si>
  <si>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</si>
  <si>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</si>
  <si>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</si>
  <si>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</si>
  <si>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</si>
  <si>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</si>
  <si>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</si>
  <si>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</si>
  <si>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</si>
  <si>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</si>
  <si>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</si>
  <si>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</si>
  <si>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</si>
  <si>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</si>
  <si>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</si>
  <si>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</si>
  <si>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</si>
  <si>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</si>
  <si>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</si>
  <si>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</si>
  <si>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</si>
  <si>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</si>
  <si>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</si>
  <si>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</si>
  <si>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</si>
  <si>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</si>
  <si>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</si>
  <si>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</si>
  <si>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</si>
  <si>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</si>
  <si>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</si>
  <si>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</si>
  <si>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</si>
  <si>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</si>
  <si>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</si>
  <si>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</si>
  <si>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</si>
  <si>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</si>
  <si>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</si>
  <si>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</si>
  <si>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</si>
  <si>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</si>
  <si>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</si>
  <si>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</si>
  <si>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</si>
  <si>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</si>
  <si>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</si>
  <si>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</si>
  <si>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</si>
  <si>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</si>
  <si>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</si>
  <si>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</si>
  <si>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</si>
  <si>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</si>
  <si>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</si>
  <si>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</si>
  <si>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</si>
  <si>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</si>
  <si>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</si>
  <si>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</si>
  <si>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</si>
  <si>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</si>
  <si>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</si>
  <si>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</si>
  <si>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</si>
  <si>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</si>
  <si>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</si>
  <si>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</si>
  <si>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</si>
  <si>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</si>
  <si>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</si>
  <si>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</si>
  <si>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</si>
  <si>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</si>
  <si>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</si>
  <si>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</si>
  <si>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</si>
  <si>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</si>
  <si>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</si>
  <si>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</si>
  <si>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</si>
  <si>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</si>
  <si>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</si>
  <si>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</si>
  <si>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</si>
  <si>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</si>
  <si>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</si>
  <si>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</si>
  <si>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</si>
  <si>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</si>
  <si>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</si>
  <si>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</si>
  <si>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</si>
  <si>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</si>
  <si>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</si>
  <si>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</si>
  <si>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</si>
  <si>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</si>
  <si>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</si>
  <si>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</si>
  <si>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</si>
  <si>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</si>
  <si>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</si>
  <si>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</si>
  <si>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</si>
  <si>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</si>
  <si>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</si>
  <si>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</si>
  <si>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</si>
  <si>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</si>
  <si>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</si>
  <si>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</si>
  <si>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</si>
  <si>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</si>
  <si>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</si>
  <si>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</si>
  <si>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</si>
  <si>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</si>
  <si>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</si>
  <si>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</si>
  <si>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</si>
  <si>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</si>
  <si>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</si>
  <si>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</si>
  <si>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</si>
  <si>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</si>
  <si>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</si>
  <si>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</si>
  <si>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</si>
  <si>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</si>
  <si>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</si>
  <si>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</si>
  <si>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</si>
  <si>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</si>
  <si>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</si>
  <si>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</si>
  <si>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</si>
  <si>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</si>
  <si>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</si>
  <si>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</si>
  <si>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</si>
  <si>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</si>
  <si>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</si>
  <si>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</si>
  <si>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</si>
  <si>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</si>
  <si>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</si>
  <si>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</si>
  <si>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</si>
  <si>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</si>
  <si>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</si>
  <si>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</si>
  <si>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</si>
  <si>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</si>
  <si>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</si>
  <si>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</si>
  <si>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</si>
  <si>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</si>
  <si>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</si>
  <si>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</si>
  <si>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</si>
  <si>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</si>
  <si>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</si>
  <si>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</si>
  <si>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</si>
  <si>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</si>
  <si>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</si>
  <si>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</si>
  <si>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</si>
  <si>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</si>
  <si>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</si>
  <si>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</si>
  <si>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</si>
  <si>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</si>
  <si>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</si>
  <si>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</si>
  <si>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</si>
  <si>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</si>
  <si>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</si>
  <si>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</si>
  <si>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</si>
  <si>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</si>
  <si>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</si>
  <si>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</si>
  <si>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</si>
  <si>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</si>
  <si>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</si>
  <si>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</si>
  <si>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</si>
  <si>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</si>
  <si>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</si>
  <si>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</si>
  <si>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</si>
  <si>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</si>
  <si>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</si>
  <si>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</si>
  <si>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</si>
  <si>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</si>
  <si>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</si>
  <si>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</si>
  <si>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</si>
  <si>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</si>
  <si>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</si>
  <si>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</si>
  <si>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</si>
  <si>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</si>
  <si>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</si>
  <si>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</si>
  <si>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</si>
  <si>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</si>
  <si>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</si>
  <si>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</si>
  <si>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</si>
  <si>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</si>
  <si>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</si>
  <si>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</si>
  <si>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</si>
  <si>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</si>
  <si>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</si>
  <si>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</si>
  <si>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</si>
  <si>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</si>
  <si>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</si>
  <si>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</si>
  <si>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</si>
  <si>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</si>
  <si>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</si>
  <si>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</si>
  <si>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</si>
  <si>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</si>
  <si>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</si>
  <si>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</si>
  <si>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</si>
  <si>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</si>
  <si>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</si>
  <si>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</si>
  <si>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</si>
  <si>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</si>
  <si>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</si>
  <si>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</si>
  <si>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</si>
  <si>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</si>
  <si>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</si>
  <si>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</si>
  <si>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</si>
  <si>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</si>
  <si>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</si>
  <si>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</si>
  <si>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</si>
  <si>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</si>
  <si>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</si>
  <si>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</si>
  <si>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</si>
  <si>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</si>
  <si>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</si>
  <si>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</si>
  <si>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</si>
  <si>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</si>
  <si>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</si>
  <si>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</si>
  <si>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</si>
  <si>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</si>
  <si>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</si>
  <si>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</si>
  <si>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</si>
  <si>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</si>
  <si>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</si>
  <si>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</si>
  <si>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</si>
  <si>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</si>
  <si>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</si>
  <si>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</si>
  <si>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</si>
  <si>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</si>
  <si>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</si>
  <si>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</si>
  <si>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</si>
  <si>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</si>
  <si>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</si>
  <si>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</si>
  <si>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</si>
  <si>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</si>
  <si>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</si>
  <si>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</si>
  <si>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</si>
  <si>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</si>
  <si>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</si>
  <si>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</si>
  <si>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</si>
  <si>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</si>
  <si>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</si>
  <si>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</si>
  <si>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</si>
  <si>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</si>
  <si>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</si>
  <si>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</si>
  <si>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</si>
  <si>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</si>
  <si>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</si>
  <si>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</si>
  <si>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</si>
  <si>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</si>
  <si>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</si>
  <si>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</si>
  <si>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</si>
  <si>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</si>
  <si>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</si>
  <si>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</si>
  <si>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</si>
  <si>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</si>
  <si>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</si>
  <si>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</si>
  <si>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</si>
  <si>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</si>
  <si>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</si>
  <si>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</si>
  <si>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</si>
  <si>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</si>
  <si>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</si>
  <si>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</si>
  <si>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</si>
  <si>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</si>
  <si>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</si>
  <si>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</si>
  <si>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</si>
  <si>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</si>
  <si>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</si>
  <si>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</si>
  <si>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</si>
  <si>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</si>
  <si>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</si>
  <si>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</si>
  <si>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</si>
  <si>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</si>
  <si>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</si>
  <si>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</si>
  <si>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</si>
  <si>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</si>
  <si>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</si>
  <si>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</si>
  <si>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</si>
  <si>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</si>
  <si>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</si>
  <si>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</si>
  <si>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</si>
  <si>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</si>
  <si>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</si>
  <si>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</si>
  <si>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</si>
  <si>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</si>
  <si>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</si>
  <si>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</si>
  <si>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</si>
  <si>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</si>
  <si>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</si>
  <si>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</si>
  <si>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</si>
  <si>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</si>
  <si>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</si>
  <si>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</si>
  <si>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</si>
  <si>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</si>
  <si>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</si>
  <si>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</si>
  <si>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</si>
  <si>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</si>
  <si>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</si>
  <si>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</si>
  <si>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</si>
  <si>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</si>
  <si>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</si>
  <si>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</si>
  <si>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</si>
  <si>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</si>
  <si>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</si>
  <si>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</si>
  <si>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</si>
  <si>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</si>
  <si>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</si>
  <si>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</si>
  <si>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</si>
  <si>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</si>
  <si>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</si>
  <si>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</si>
  <si>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</si>
  <si>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</si>
  <si>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</si>
  <si>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</si>
  <si>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</si>
  <si>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</si>
  <si>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</si>
  <si>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</si>
  <si>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</si>
  <si>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</si>
  <si>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</si>
  <si>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</si>
  <si>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</si>
  <si>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</si>
  <si>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</si>
  <si>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</si>
  <si>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</si>
  <si>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</si>
  <si>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</si>
  <si>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</si>
  <si>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</si>
  <si>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</si>
  <si>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</si>
  <si>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</si>
  <si>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</si>
  <si>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</si>
  <si>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</si>
  <si>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</si>
  <si>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</si>
  <si>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</si>
  <si>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</si>
  <si>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</si>
  <si>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</si>
  <si>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</si>
  <si>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</si>
  <si>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</si>
  <si>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</si>
  <si>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</si>
  <si>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</si>
  <si>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</si>
  <si>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</si>
  <si>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</si>
  <si>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</si>
  <si>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</si>
  <si>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</si>
  <si>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</si>
  <si>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</si>
  <si>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</si>
  <si>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</si>
  <si>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</si>
  <si>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</si>
  <si>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</si>
  <si>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</si>
  <si>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</si>
  <si>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</si>
  <si>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</si>
  <si>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</si>
  <si>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</si>
  <si>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</si>
  <si>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</si>
  <si>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</si>
  <si>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</si>
  <si>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</si>
  <si>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</si>
  <si>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</si>
  <si>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</si>
  <si>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</si>
  <si>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</si>
  <si>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</si>
  <si>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</si>
  <si>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</si>
  <si>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</si>
  <si>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</si>
  <si>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</si>
  <si>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</si>
  <si>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</si>
  <si>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</si>
  <si>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</si>
  <si>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</si>
  <si>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</si>
  <si>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</si>
  <si>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</si>
  <si>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</si>
  <si>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</si>
  <si>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</si>
  <si>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</si>
  <si>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</si>
  <si>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</si>
  <si>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</si>
  <si>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</si>
  <si>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</si>
  <si>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</si>
  <si>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</si>
  <si>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</si>
  <si>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</si>
  <si>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</si>
  <si>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</si>
  <si>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</si>
  <si>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</si>
  <si>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</si>
  <si>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</si>
  <si>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</si>
  <si>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</si>
  <si>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</si>
  <si>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</si>
  <si>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</si>
  <si>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</si>
  <si>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</si>
  <si>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</si>
  <si>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</si>
  <si>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</si>
  <si>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</si>
  <si>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</si>
  <si>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</si>
  <si>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</si>
  <si>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</si>
  <si>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</si>
  <si>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</si>
  <si>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</si>
  <si>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</si>
  <si>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</si>
  <si>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</si>
  <si>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</si>
  <si>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</si>
  <si>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</si>
  <si>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</si>
  <si>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</si>
  <si>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</si>
  <si>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</si>
  <si>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</si>
  <si>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</si>
  <si>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</si>
  <si>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</si>
  <si>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</si>
  <si>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</si>
  <si>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</si>
  <si>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</si>
  <si>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</si>
  <si>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</si>
  <si>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</si>
  <si>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</si>
  <si>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</si>
  <si>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</si>
  <si>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</si>
  <si>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</si>
  <si>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</si>
  <si>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</si>
  <si>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</si>
  <si>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</si>
  <si>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</si>
  <si>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</si>
  <si>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</si>
  <si>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</si>
  <si>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</si>
  <si>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</si>
  <si>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</si>
  <si>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</si>
  <si>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</si>
  <si>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</si>
  <si>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</si>
  <si>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</si>
  <si>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</si>
  <si>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</si>
  <si>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</si>
  <si>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</si>
  <si>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</si>
  <si>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</si>
  <si>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</si>
  <si>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</si>
  <si>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</si>
  <si>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</si>
  <si>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</si>
  <si>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</si>
  <si>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</si>
  <si>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</si>
  <si>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</si>
  <si>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</si>
  <si>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</si>
  <si>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</si>
  <si>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</si>
  <si>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</si>
  <si>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</si>
  <si>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</si>
  <si>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</si>
  <si>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</si>
  <si>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</si>
  <si>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</si>
  <si>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</si>
  <si>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</si>
  <si>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</si>
  <si>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</si>
  <si>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</si>
  <si>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</si>
  <si>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</si>
  <si>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</si>
  <si>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</si>
  <si>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</si>
  <si>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</si>
  <si>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</si>
  <si>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</si>
  <si>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</si>
  <si>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</si>
  <si>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</si>
  <si>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</si>
  <si>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</si>
  <si>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</si>
  <si>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</si>
  <si>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</si>
  <si>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</si>
  <si>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</si>
  <si>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</si>
  <si>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</si>
  <si>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</si>
  <si>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</si>
  <si>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</si>
  <si>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</si>
  <si>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</si>
  <si>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</si>
  <si>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</si>
  <si>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</si>
  <si>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</si>
  <si>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</si>
  <si>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</si>
  <si>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</si>
  <si>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</si>
  <si>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</si>
  <si>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</si>
  <si>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</si>
  <si>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</si>
  <si>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</si>
  <si>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</si>
  <si>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</si>
  <si>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</si>
  <si>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</si>
  <si>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</si>
  <si>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</si>
  <si>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</si>
  <si>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</si>
  <si>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</si>
  <si>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</si>
  <si>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</si>
  <si>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</si>
  <si>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</si>
  <si>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</si>
  <si>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</si>
  <si>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</si>
  <si>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</si>
  <si>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</si>
  <si>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</si>
  <si>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</si>
  <si>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</si>
  <si>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</si>
  <si>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</si>
  <si>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</si>
  <si>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</si>
  <si>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</si>
  <si>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</si>
  <si>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</si>
  <si>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</si>
  <si>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</si>
  <si>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</si>
  <si>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</si>
  <si>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</si>
  <si>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</si>
  <si>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</si>
  <si>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</si>
  <si>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</si>
  <si>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</si>
  <si>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</si>
  <si>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</si>
  <si>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</si>
  <si>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</si>
  <si>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</si>
  <si>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</si>
  <si>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</si>
  <si>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</si>
  <si>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</si>
  <si>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</si>
  <si>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</si>
  <si>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</si>
  <si>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</si>
  <si>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</si>
  <si>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</si>
  <si>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</si>
  <si>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</si>
  <si>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</si>
  <si>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</si>
  <si>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</si>
  <si>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</si>
  <si>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</si>
  <si>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</si>
  <si>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</si>
  <si>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</si>
  <si>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</si>
  <si>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</si>
  <si>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</si>
  <si>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</si>
  <si>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</si>
  <si>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</si>
  <si>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</si>
  <si>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</si>
  <si>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</si>
  <si>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</si>
  <si>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</si>
  <si>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</si>
  <si>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</si>
  <si>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</si>
  <si>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</si>
  <si>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</si>
  <si>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</si>
  <si>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</si>
  <si>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</si>
  <si>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</si>
  <si>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</si>
  <si>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</si>
  <si>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</si>
  <si>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</si>
  <si>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</si>
  <si>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</si>
  <si>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</si>
  <si>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</si>
  <si>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</si>
  <si>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</si>
  <si>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</si>
  <si>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</si>
  <si>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</si>
  <si>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</si>
  <si>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</si>
  <si>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</si>
  <si>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</si>
  <si>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</si>
  <si>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</si>
  <si>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</si>
  <si>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</si>
  <si>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</si>
  <si>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</si>
  <si>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</si>
  <si>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</si>
  <si>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</si>
  <si>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</si>
  <si>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</si>
  <si>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</si>
  <si>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</si>
  <si>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</si>
  <si>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</si>
  <si>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</si>
  <si>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</si>
  <si>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</si>
  <si>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</si>
  <si>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</si>
  <si>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</si>
  <si>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</si>
  <si>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</si>
  <si>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</si>
  <si>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</si>
  <si>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</si>
  <si>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</si>
  <si>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</si>
  <si>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</si>
  <si>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</si>
  <si>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</si>
  <si>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</si>
  <si>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</si>
  <si>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</si>
  <si>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</si>
  <si>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</si>
  <si>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</si>
  <si>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</si>
  <si>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</si>
  <si>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</si>
  <si>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</si>
  <si>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</si>
  <si>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</si>
  <si>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</si>
  <si>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</si>
  <si>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</si>
  <si>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</si>
  <si>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</si>
  <si>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</si>
  <si>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</si>
  <si>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</si>
  <si>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</si>
  <si>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</si>
  <si>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</si>
  <si>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</si>
  <si>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</si>
  <si>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</si>
  <si>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</si>
  <si>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</si>
  <si>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</si>
  <si>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</si>
  <si>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</si>
  <si>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</si>
  <si>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</si>
  <si>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</si>
  <si>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</si>
  <si>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</si>
  <si>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</si>
  <si>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</si>
  <si>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</si>
  <si>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</si>
  <si>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</si>
  <si>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</si>
  <si>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</si>
  <si>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</si>
  <si>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</si>
  <si>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</si>
  <si>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</si>
  <si>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</si>
  <si>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</si>
  <si>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</si>
  <si>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</si>
  <si>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</si>
  <si>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</si>
  <si>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</si>
  <si>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</si>
  <si>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</si>
  <si>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</si>
  <si>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</si>
  <si>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</si>
  <si>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</si>
  <si>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</si>
  <si>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</si>
  <si>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</si>
  <si>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</si>
  <si>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</si>
  <si>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</si>
  <si>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</si>
  <si>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</si>
  <si>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</si>
  <si>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</si>
  <si>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</si>
  <si>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</si>
  <si>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</si>
  <si>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</si>
  <si>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</si>
  <si>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</si>
  <si>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</si>
  <si>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</si>
  <si>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</si>
  <si>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</si>
  <si>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</si>
  <si>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</si>
  <si>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</si>
  <si>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</si>
  <si>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</si>
  <si>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</si>
  <si>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</si>
  <si>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</si>
  <si>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</si>
  <si>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</si>
  <si>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</si>
  <si>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</si>
  <si>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</si>
  <si>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</si>
  <si>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</si>
  <si>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</si>
  <si>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</si>
  <si>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</si>
  <si>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</si>
  <si>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</si>
  <si>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</si>
  <si>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</si>
  <si>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</si>
  <si>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</si>
  <si>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</si>
  <si>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</si>
  <si>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</si>
  <si>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</si>
  <si>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</si>
  <si>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</si>
  <si>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</si>
  <si>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</si>
  <si>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</si>
  <si>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</si>
  <si>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</si>
  <si>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</si>
  <si>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</si>
  <si>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</si>
  <si>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</si>
  <si>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</si>
  <si>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</si>
  <si>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</si>
  <si>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</si>
  <si>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</si>
  <si>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</si>
  <si>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</si>
  <si>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</si>
  <si>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</si>
  <si>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</si>
  <si>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</si>
  <si>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</si>
  <si>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</si>
  <si>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</si>
  <si>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</si>
  <si>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</si>
  <si>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</si>
  <si>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</si>
  <si>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</si>
  <si>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</si>
  <si>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</si>
  <si>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</si>
  <si>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</si>
  <si>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</si>
  <si>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</si>
  <si>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</si>
  <si>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</si>
  <si>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</si>
  <si>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</si>
  <si>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</si>
  <si>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</si>
  <si>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</si>
  <si>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</si>
  <si>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</si>
  <si>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</si>
  <si>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</si>
  <si>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</si>
  <si>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</si>
  <si>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</si>
  <si>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</si>
  <si>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</si>
  <si>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</si>
  <si>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</si>
  <si>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</si>
  <si>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</si>
  <si>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</si>
  <si>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</si>
  <si>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</si>
  <si>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</si>
  <si>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</si>
  <si>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</si>
  <si>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</si>
  <si>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</si>
  <si>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</si>
  <si>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</si>
  <si>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</si>
  <si>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</si>
  <si>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</si>
  <si>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</si>
  <si>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</si>
  <si>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</si>
  <si>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</si>
  <si>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</si>
  <si>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</si>
  <si>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</si>
  <si>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</si>
  <si>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</si>
  <si>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</si>
  <si>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</si>
  <si>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</si>
  <si>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</si>
  <si>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</si>
  <si>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</si>
  <si>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</si>
  <si>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</si>
  <si>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</si>
  <si>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</si>
  <si>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</si>
  <si>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</si>
  <si>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</si>
  <si>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</si>
  <si>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</si>
  <si>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</si>
  <si>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</si>
  <si>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</si>
  <si>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</si>
  <si>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</si>
  <si>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</si>
  <si>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</si>
  <si>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</si>
  <si>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</si>
  <si>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</si>
  <si>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</si>
  <si>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</si>
  <si>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</si>
  <si>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</si>
  <si>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</si>
  <si>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</si>
  <si>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</si>
  <si>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</si>
  <si>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</si>
  <si>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</si>
  <si>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</si>
  <si>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</si>
  <si>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</si>
  <si>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</si>
  <si>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</si>
  <si>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</si>
  <si>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</si>
  <si>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</si>
  <si>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</si>
  <si>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</si>
  <si>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</si>
  <si>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</si>
  <si>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</si>
  <si>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</si>
  <si>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</si>
  <si>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</si>
  <si>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</si>
  <si>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</si>
  <si>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</si>
  <si>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</si>
  <si>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</si>
  <si>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</si>
  <si>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</si>
  <si>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</si>
  <si>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</si>
  <si>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</si>
  <si>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</si>
  <si>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</si>
  <si>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</si>
  <si>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</si>
  <si>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</si>
  <si>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</si>
  <si>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</si>
  <si>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</si>
  <si>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</si>
  <si>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</si>
  <si>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</si>
  <si>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</si>
  <si>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</si>
  <si>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</si>
  <si>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</si>
  <si>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</si>
  <si>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</si>
  <si>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</si>
  <si>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</si>
  <si>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</si>
  <si>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</si>
  <si>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</si>
  <si>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</si>
  <si>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</si>
  <si>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</si>
  <si>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</si>
  <si>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</si>
  <si>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</si>
  <si>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</si>
  <si>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</si>
  <si>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</si>
  <si>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</si>
  <si>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</si>
  <si>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</si>
  <si>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</si>
  <si>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</si>
  <si>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</si>
  <si>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</si>
  <si>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</si>
  <si>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</si>
  <si>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</si>
  <si>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</si>
  <si>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</si>
  <si>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</si>
  <si>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</si>
  <si>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</si>
  <si>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</si>
  <si>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</si>
  <si>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</si>
  <si>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</si>
  <si>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</si>
  <si>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</si>
  <si>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</si>
  <si>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</si>
  <si>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</si>
  <si>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</si>
  <si>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</si>
  <si>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</si>
  <si>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</si>
  <si>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</si>
  <si>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</si>
  <si>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</si>
  <si>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</si>
  <si>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</si>
  <si>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</si>
  <si>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</si>
  <si>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</si>
  <si>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</si>
  <si>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</si>
  <si>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</si>
  <si>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</si>
  <si>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</si>
  <si>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</si>
  <si>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</si>
  <si>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</si>
  <si>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</si>
  <si>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</si>
  <si>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</si>
  <si>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</si>
  <si>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</si>
  <si>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</si>
  <si>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</si>
  <si>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</si>
  <si>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</si>
  <si>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</si>
  <si>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</si>
  <si>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</si>
  <si>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</si>
  <si>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</si>
  <si>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</si>
  <si>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</si>
  <si>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</si>
  <si>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</si>
  <si>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</si>
  <si>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</si>
  <si>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</si>
  <si>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</si>
  <si>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</si>
  <si>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</si>
  <si>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</si>
  <si>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</si>
  <si>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</si>
  <si>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</si>
  <si>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</si>
  <si>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</si>
  <si>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</si>
  <si>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</si>
  <si>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</si>
  <si>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</si>
  <si>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</si>
  <si>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</si>
  <si>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</si>
  <si>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</si>
  <si>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</si>
  <si>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</si>
  <si>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</si>
  <si>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</si>
  <si>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</si>
  <si>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</si>
  <si>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</si>
  <si>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</si>
  <si>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</si>
  <si>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</si>
  <si>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</si>
  <si>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</si>
  <si>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</si>
  <si>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</si>
  <si>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</si>
  <si>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</si>
  <si>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</si>
  <si>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</si>
  <si>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</si>
  <si>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</si>
  <si>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</si>
  <si>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</si>
  <si>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</si>
  <si>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</si>
  <si>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</si>
  <si>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</si>
  <si>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</si>
  <si>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</si>
  <si>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</si>
  <si>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</si>
  <si>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</si>
  <si>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</si>
  <si>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</si>
  <si>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</si>
  <si>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</si>
  <si>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</si>
  <si>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</si>
  <si>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</si>
  <si>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</si>
  <si>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</si>
  <si>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</si>
  <si>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</si>
  <si>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</si>
  <si>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</si>
  <si>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</si>
  <si>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</si>
  <si>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</si>
  <si>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</si>
  <si>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</si>
  <si>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</si>
  <si>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</si>
  <si>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</si>
  <si>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</si>
  <si>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</si>
  <si>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</si>
  <si>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</si>
  <si>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</si>
  <si>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</si>
  <si>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</si>
  <si>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</si>
  <si>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</si>
  <si>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</si>
  <si>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</si>
  <si>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</si>
  <si>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</si>
  <si>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</si>
  <si>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</si>
  <si>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</si>
  <si>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</si>
  <si>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</si>
  <si>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</si>
  <si>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</si>
  <si>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</si>
  <si>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</si>
  <si>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</si>
  <si>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</si>
  <si>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</si>
  <si>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</si>
  <si>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</si>
  <si>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</si>
  <si>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</si>
  <si>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</si>
  <si>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</si>
  <si>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</si>
  <si>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</si>
  <si>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</si>
  <si>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</si>
  <si>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</si>
  <si>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</si>
  <si>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</si>
  <si>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</si>
  <si>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</si>
  <si>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</si>
  <si>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</si>
  <si>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</si>
  <si>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</si>
  <si>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</si>
  <si>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</si>
  <si>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</si>
  <si>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</si>
  <si>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</si>
  <si>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</si>
  <si>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</si>
  <si>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</si>
  <si>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</si>
  <si>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</si>
  <si>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</si>
  <si>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</si>
  <si>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</si>
  <si>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</si>
  <si>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</si>
  <si>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</si>
  <si>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</si>
  <si>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</si>
  <si>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</si>
  <si>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</si>
  <si>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</si>
  <si>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</si>
  <si>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</si>
  <si>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</si>
  <si>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</si>
  <si>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</si>
  <si>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</si>
  <si>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</si>
  <si>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</si>
  <si>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</si>
  <si>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</si>
  <si>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</si>
  <si>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</si>
  <si>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</si>
  <si>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</si>
  <si>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</si>
  <si>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</si>
  <si>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</si>
  <si>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</si>
  <si>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</si>
  <si>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</si>
  <si>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</si>
  <si>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</si>
  <si>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</si>
  <si>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</si>
  <si>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</si>
  <si>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</si>
  <si>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</si>
  <si>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</si>
  <si>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</si>
  <si>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</si>
  <si>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</si>
  <si>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</si>
  <si>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</si>
  <si>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</si>
  <si>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</si>
  <si>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</si>
  <si>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</si>
  <si>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</si>
  <si>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</si>
  <si>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</si>
  <si>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</si>
  <si>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</si>
  <si>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</si>
  <si>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</si>
  <si>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</si>
  <si>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</si>
  <si>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</si>
  <si>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</si>
  <si>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</si>
  <si>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</si>
  <si>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</si>
  <si>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</si>
  <si>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</si>
  <si>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</si>
  <si>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</si>
  <si>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</si>
  <si>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</si>
  <si>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</si>
  <si>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</si>
  <si>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</si>
  <si>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</si>
  <si>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</si>
  <si>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</si>
  <si>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</si>
  <si>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</si>
  <si>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</si>
  <si>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</si>
  <si>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</si>
  <si>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</si>
  <si>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</si>
  <si>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</si>
  <si>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</si>
  <si>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</si>
  <si>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</si>
  <si>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</si>
  <si>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</si>
  <si>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</si>
  <si>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</si>
  <si>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</si>
  <si>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</si>
  <si>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</si>
  <si>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</si>
  <si>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</si>
  <si>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</si>
  <si>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</si>
  <si>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</si>
  <si>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</si>
  <si>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</si>
  <si>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</si>
  <si>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</si>
  <si>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</si>
  <si>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</si>
  <si>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</si>
  <si>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</si>
  <si>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</si>
  <si>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</si>
  <si>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</si>
  <si>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</si>
  <si>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</si>
  <si>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</si>
  <si>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</si>
  <si>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</si>
  <si>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</si>
  <si>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</si>
  <si>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</si>
  <si>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</si>
  <si>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</si>
  <si>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</si>
  <si>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</si>
  <si>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</si>
  <si>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</si>
  <si>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</si>
  <si>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</si>
  <si>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</si>
  <si>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</si>
  <si>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</si>
  <si>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</si>
  <si>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</si>
  <si>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</si>
  <si>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</si>
  <si>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</si>
  <si>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</si>
  <si>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</si>
  <si>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</si>
  <si>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</si>
  <si>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</si>
  <si>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</si>
  <si>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</si>
  <si>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</si>
  <si>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</si>
  <si>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</si>
  <si>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</si>
  <si>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</si>
  <si>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</si>
  <si>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</si>
  <si>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</si>
  <si>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</si>
  <si>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</si>
  <si>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</si>
  <si>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</si>
  <si>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</si>
  <si>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</si>
  <si>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</si>
  <si>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</si>
  <si>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</si>
  <si>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</si>
  <si>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</si>
  <si>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</si>
  <si>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</si>
  <si>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</si>
  <si>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</si>
  <si>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</si>
  <si>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</si>
  <si>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</si>
  <si>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</si>
  <si>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</si>
  <si>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</si>
  <si>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</si>
  <si>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</si>
  <si>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</si>
  <si>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</si>
  <si>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</si>
  <si>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</si>
  <si>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</si>
  <si>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</si>
  <si>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</si>
  <si>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</si>
  <si>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</si>
  <si>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</si>
  <si>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</si>
  <si>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</si>
  <si>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</si>
  <si>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</si>
  <si>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</si>
  <si>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</si>
  <si>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</si>
  <si>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</si>
  <si>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</si>
  <si>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</si>
  <si>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</si>
  <si>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</si>
  <si>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</si>
  <si>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</si>
  <si>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</si>
  <si>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</si>
  <si>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</si>
  <si>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</si>
  <si>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</si>
  <si>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</si>
  <si>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</si>
  <si>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</si>
  <si>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</si>
  <si>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</si>
  <si>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</si>
  <si>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</si>
  <si>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</si>
  <si>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</si>
  <si>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</si>
  <si>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</si>
  <si>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</si>
  <si>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</si>
  <si>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</si>
  <si>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</si>
  <si>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</si>
  <si>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</si>
  <si>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</si>
  <si>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</si>
  <si>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</si>
  <si>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</si>
  <si>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</si>
  <si>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</si>
  <si>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</si>
  <si>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</si>
  <si>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</si>
  <si>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</si>
  <si>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</si>
  <si>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</si>
  <si>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</si>
  <si>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</si>
  <si>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</si>
  <si>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</si>
  <si>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</si>
  <si>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</si>
  <si>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</si>
  <si>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</si>
  <si>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</si>
  <si>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</si>
  <si>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</si>
  <si>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</si>
  <si>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</si>
  <si>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</si>
  <si>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</si>
  <si>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</si>
  <si>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</si>
  <si>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</si>
  <si>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</si>
  <si>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</si>
  <si>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</si>
  <si>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</si>
  <si>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</si>
  <si>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</si>
  <si>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</si>
  <si>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</si>
  <si>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</si>
  <si>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</si>
  <si>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</si>
  <si>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</si>
  <si>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</si>
  <si>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</si>
  <si>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</si>
  <si>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</si>
  <si>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</si>
  <si>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</si>
  <si>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</si>
  <si>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</si>
  <si>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</si>
  <si>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</si>
  <si>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</si>
  <si>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</si>
  <si>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</si>
  <si>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</si>
  <si>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</si>
  <si>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</si>
  <si>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</si>
  <si>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</si>
  <si>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</si>
  <si>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</si>
  <si>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</si>
  <si>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</si>
  <si>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</si>
  <si>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</si>
  <si>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</si>
  <si>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</si>
  <si>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</si>
  <si>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</si>
  <si>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</si>
  <si>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</si>
  <si>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</si>
  <si>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</si>
  <si>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</si>
  <si>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</si>
  <si>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</si>
  <si>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</si>
  <si>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</si>
  <si>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</si>
  <si>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</si>
  <si>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</si>
  <si>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</si>
  <si>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</si>
  <si>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</si>
  <si>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</si>
  <si>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</si>
  <si>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</si>
  <si>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</si>
  <si>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</si>
  <si>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</si>
  <si>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</si>
  <si>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</si>
  <si>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</si>
  <si>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</si>
  <si>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</si>
  <si>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</si>
  <si>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</si>
  <si>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</si>
  <si>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</si>
  <si>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</si>
  <si>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</si>
  <si>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</si>
  <si>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</si>
  <si>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</si>
  <si>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</si>
  <si>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</si>
  <si>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</si>
  <si>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</si>
  <si>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</si>
  <si>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</si>
  <si>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</si>
  <si>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</si>
  <si>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</si>
  <si>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</si>
  <si>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</si>
  <si>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</si>
  <si>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</si>
  <si>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</si>
  <si>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</si>
  <si>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</si>
  <si>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</si>
  <si>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</si>
  <si>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</si>
  <si>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</si>
  <si>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</si>
  <si>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</si>
  <si>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</si>
  <si>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</si>
  <si>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</si>
  <si>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</si>
  <si>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</si>
  <si>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</si>
  <si>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</si>
  <si>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</si>
  <si>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</si>
  <si>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</si>
  <si>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</si>
  <si>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</si>
  <si>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</si>
  <si>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</si>
  <si>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</si>
  <si>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</si>
  <si>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</si>
  <si>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</si>
  <si>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</si>
  <si>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</si>
  <si>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</si>
  <si>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</si>
  <si>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</si>
  <si>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</si>
  <si>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</si>
  <si>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</si>
  <si>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</si>
  <si>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</si>
  <si>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</si>
  <si>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</si>
  <si>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</si>
  <si>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</si>
  <si>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</si>
  <si>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</si>
  <si>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</si>
  <si>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</si>
  <si>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</si>
  <si>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</si>
  <si>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</si>
  <si>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</si>
  <si>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</si>
  <si>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</si>
  <si>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</si>
  <si>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</si>
  <si>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</si>
  <si>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</si>
  <si>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</si>
  <si>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</si>
  <si>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</si>
  <si>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</si>
  <si>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</si>
  <si>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</si>
  <si>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</si>
  <si>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</si>
  <si>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</si>
  <si>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</si>
  <si>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</si>
  <si>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</si>
  <si>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</si>
  <si>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</si>
  <si>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</si>
  <si>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</si>
  <si>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</si>
  <si>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</si>
  <si>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</si>
  <si>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</si>
  <si>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</si>
  <si>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</si>
  <si>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</si>
  <si>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</si>
  <si>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</si>
  <si>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</si>
  <si>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</si>
  <si>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</si>
  <si>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</si>
  <si>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</si>
  <si>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</si>
  <si>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</si>
  <si>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</si>
  <si>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</si>
  <si>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</si>
  <si>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</si>
  <si>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</si>
  <si>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</si>
  <si>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</si>
  <si>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</si>
  <si>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</si>
  <si>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</si>
  <si>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</si>
  <si>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</si>
  <si>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</si>
  <si>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</si>
  <si>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</si>
  <si>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</si>
  <si>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</si>
  <si>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</si>
  <si>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</si>
  <si>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</si>
  <si>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</si>
  <si>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</si>
  <si>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</si>
  <si>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</si>
  <si>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</si>
  <si>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</si>
  <si>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</si>
  <si>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</si>
  <si>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</si>
  <si>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</si>
  <si>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</si>
  <si>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</si>
  <si>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</si>
  <si>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</si>
  <si>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</si>
  <si>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</si>
  <si>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</si>
  <si>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</si>
  <si>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</si>
  <si>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</si>
  <si>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</si>
  <si>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</si>
  <si>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</si>
  <si>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</si>
  <si>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</si>
  <si>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</si>
  <si>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</si>
  <si>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</si>
  <si>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</si>
  <si>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</si>
  <si>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</si>
  <si>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</si>
  <si>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</si>
  <si>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</si>
  <si>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</si>
  <si>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</si>
  <si>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</si>
  <si>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</si>
  <si>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</si>
  <si>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</si>
  <si>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</si>
  <si>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</si>
  <si>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</si>
  <si>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</si>
  <si>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</si>
  <si>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</si>
  <si>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</si>
  <si>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</si>
  <si>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</si>
  <si>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</si>
  <si>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</si>
  <si>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</si>
  <si>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</si>
  <si>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</si>
  <si>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</si>
  <si>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</si>
  <si>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</si>
  <si>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</si>
  <si>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</si>
  <si>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</si>
  <si>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</si>
  <si>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</si>
  <si>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</si>
  <si>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</si>
  <si>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</si>
  <si>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</si>
  <si>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</si>
  <si>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</si>
  <si>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</si>
  <si>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</si>
  <si>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</si>
  <si>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</si>
  <si>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</si>
  <si>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</si>
  <si>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</si>
  <si>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</si>
  <si>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</si>
  <si>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</si>
  <si>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</si>
  <si>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</si>
  <si>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</si>
  <si>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</si>
  <si>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</si>
  <si>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</si>
  <si>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</si>
  <si>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</si>
  <si>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</si>
  <si>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</si>
  <si>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</si>
  <si>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</si>
  <si>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</si>
  <si>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</si>
  <si>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</si>
  <si>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</si>
  <si>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</si>
  <si>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</si>
  <si>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</si>
  <si>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</si>
  <si>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</si>
  <si>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</si>
  <si>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</si>
  <si>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</si>
  <si>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</si>
  <si>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</si>
  <si>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</si>
  <si>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</si>
  <si>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</si>
  <si>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</si>
  <si>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</si>
  <si>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</si>
  <si>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</si>
  <si>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</si>
  <si>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</si>
  <si>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</si>
  <si>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</si>
  <si>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</si>
  <si>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</si>
  <si>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</si>
  <si>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</si>
  <si>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</si>
  <si>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</si>
  <si>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</si>
  <si>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</si>
  <si>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</si>
  <si>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</si>
  <si>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</si>
  <si>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</si>
  <si>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</si>
  <si>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</si>
  <si>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</si>
  <si>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</si>
  <si>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</si>
  <si>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</si>
  <si>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</si>
  <si>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</si>
  <si>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</si>
  <si>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</si>
  <si>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</si>
  <si>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</si>
  <si>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</si>
  <si>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</si>
  <si>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</si>
  <si>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</si>
  <si>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</si>
  <si>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</si>
  <si>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</si>
  <si>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</si>
  <si>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</si>
  <si>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</si>
  <si>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</si>
  <si>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</si>
  <si>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</si>
  <si>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</si>
  <si>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</si>
  <si>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</si>
  <si>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</si>
  <si>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</si>
  <si>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</si>
  <si>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</si>
  <si>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</si>
  <si>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</si>
  <si>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</si>
  <si>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</si>
  <si>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</si>
  <si>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</si>
  <si>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</si>
  <si>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</si>
  <si>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</si>
  <si>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</si>
  <si>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</si>
  <si>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</si>
  <si>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</si>
  <si>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</si>
  <si>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</si>
  <si>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</si>
  <si>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</si>
  <si>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</si>
  <si>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</si>
  <si>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</si>
  <si>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</si>
  <si>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順達科</t>
  </si>
  <si>
    <t>揚華</t>
  </si>
  <si>
    <t>東浦精密</t>
  </si>
  <si>
    <t>臺聯貨櫃</t>
  </si>
  <si>
    <t>104_11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</si>
  <si>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</si>
  <si>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</si>
  <si>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2106</t>
  </si>
  <si>
    <t>建大(2106)</t>
  </si>
  <si>
    <t>建大（2106）</t>
  </si>
  <si>
    <t>2106建大</t>
  </si>
  <si>
    <t xml:space="preserve">△0.45 </t>
  </si>
  <si>
    <t xml:space="preserve">建大(2106)      市價：47.7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</si>
</sst>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90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5" fillId="29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  <xf numFmtId="0" fontId="5" fillId="7" borderId="0" xfId="3" applyFill="1" applyAlignment="1">
      <alignment vertical="center" wrapText="1"/>
    </xf>
    <xf numFmtId="0" fontId="4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17" fillId="7" borderId="0" xfId="0" applyFont="1" applyFill="1" applyAlignment="1">
      <alignment horizontal="center" vertical="center"/>
    </xf>
    <xf numFmtId="178" fontId="17" fillId="7" borderId="0" xfId="2" applyNumberFormat="1" applyFont="1" applyFill="1" applyAlignment="1">
      <alignment horizontal="center" vertical="center"/>
    </xf>
    <xf numFmtId="176" fontId="17" fillId="7" borderId="0" xfId="1" applyFont="1" applyFill="1">
      <alignment vertical="center"/>
    </xf>
    <xf numFmtId="178" fontId="17" fillId="7" borderId="0" xfId="1" applyNumberFormat="1" applyFont="1" applyFill="1">
      <alignment vertical="center"/>
    </xf>
    <xf numFmtId="0" fontId="0" fillId="7" borderId="0" xfId="0" applyFont="1" applyFill="1">
      <alignment vertical="center"/>
    </xf>
    <xf numFmtId="0" fontId="0" fillId="7" borderId="0" xfId="0" applyFill="1">
      <alignment vertical="center"/>
    </xf>
    <xf numFmtId="0" fontId="59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11" borderId="25" xfId="0" applyFont="1" applyFill="1" applyBorder="1" applyAlignment="1">
      <alignment horizontal="center" vertical="center"/>
    </xf>
    <xf numFmtId="0" fontId="16" fillId="11" borderId="24" xfId="0" applyFont="1" applyFill="1" applyBorder="1" applyAlignment="1">
      <alignment horizontal="center"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797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7665</c:v>
                </c:pt>
                <c:pt idx="1">
                  <c:v>7902</c:v>
                </c:pt>
                <c:pt idx="2">
                  <c:v>9101</c:v>
                </c:pt>
                <c:pt idx="3">
                  <c:v>8414</c:v>
                </c:pt>
                <c:pt idx="4">
                  <c:v>7875</c:v>
                </c:pt>
                <c:pt idx="5">
                  <c:v>7433</c:v>
                </c:pt>
                <c:pt idx="6">
                  <c:v>8448</c:v>
                </c:pt>
                <c:pt idx="7">
                  <c:v>8112</c:v>
                </c:pt>
              </c:numCache>
            </c:numRef>
          </c:val>
        </c:ser>
        <c:gapWidth val="125"/>
        <c:axId val="89362432"/>
        <c:axId val="89363968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0.26066536203522506</c:v>
                </c:pt>
                <c:pt idx="1">
                  <c:v>0.25613768666160464</c:v>
                </c:pt>
                <c:pt idx="2">
                  <c:v>0.26249862652455774</c:v>
                </c:pt>
                <c:pt idx="3">
                  <c:v>0.26824340385072498</c:v>
                </c:pt>
                <c:pt idx="4">
                  <c:v>0.27123809523809522</c:v>
                </c:pt>
                <c:pt idx="5">
                  <c:v>0.25077357729046146</c:v>
                </c:pt>
                <c:pt idx="6">
                  <c:v>0.28231534090909088</c:v>
                </c:pt>
                <c:pt idx="7">
                  <c:v>0.26960059171597633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0.10032615786040444</c:v>
                </c:pt>
                <c:pt idx="1">
                  <c:v>0.10832700582131106</c:v>
                </c:pt>
                <c:pt idx="2">
                  <c:v>9.9989012196461932E-2</c:v>
                </c:pt>
                <c:pt idx="3">
                  <c:v>0.11124316615165201</c:v>
                </c:pt>
                <c:pt idx="4">
                  <c:v>0.12380952380952381</c:v>
                </c:pt>
                <c:pt idx="5">
                  <c:v>7.6415982779496835E-2</c:v>
                </c:pt>
                <c:pt idx="6">
                  <c:v>9.9905303030303025E-2</c:v>
                </c:pt>
                <c:pt idx="7">
                  <c:v>0.15668145956607496</c:v>
                </c:pt>
              </c:numCache>
            </c:numRef>
          </c:val>
          <c:smooth val="1"/>
        </c:ser>
        <c:marker val="1"/>
        <c:axId val="89371392"/>
        <c:axId val="89365504"/>
      </c:lineChart>
      <c:catAx>
        <c:axId val="8936243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89363968"/>
        <c:crosses val="autoZero"/>
        <c:auto val="1"/>
        <c:lblAlgn val="ctr"/>
        <c:lblOffset val="100"/>
      </c:catAx>
      <c:valAx>
        <c:axId val="8936396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89362432"/>
        <c:crosses val="autoZero"/>
        <c:crossBetween val="between"/>
      </c:valAx>
      <c:valAx>
        <c:axId val="8936550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89371392"/>
        <c:crosses val="max"/>
        <c:crossBetween val="between"/>
      </c:valAx>
      <c:catAx>
        <c:axId val="89371392"/>
        <c:scaling>
          <c:orientation val="minMax"/>
        </c:scaling>
        <c:delete val="1"/>
        <c:axPos val="b"/>
        <c:tickLblPos val="none"/>
        <c:crossAx val="8936550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41"/>
          <c:y val="6.1852578105156222E-2"/>
          <c:w val="0.73786606461091042"/>
          <c:h val="0.88229882850009755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43.557960010124013</c:v>
                </c:pt>
                <c:pt idx="1">
                  <c:v>43.557960010124013</c:v>
                </c:pt>
                <c:pt idx="2">
                  <c:v>39.799678606746511</c:v>
                </c:pt>
                <c:pt idx="3">
                  <c:v>43.629516282386497</c:v>
                </c:pt>
                <c:pt idx="4">
                  <c:v>48.006190476190476</c:v>
                </c:pt>
                <c:pt idx="5">
                  <c:v>49.166722722992063</c:v>
                </c:pt>
                <c:pt idx="6">
                  <c:v>42.892252604166664</c:v>
                </c:pt>
                <c:pt idx="7">
                  <c:v>45.512512327416168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93.027496597482127</c:v>
                </c:pt>
                <c:pt idx="1">
                  <c:v>93.027496597482127</c:v>
                </c:pt>
                <c:pt idx="2">
                  <c:v>84.581626191895111</c:v>
                </c:pt>
                <c:pt idx="3">
                  <c:v>92.198513886633094</c:v>
                </c:pt>
                <c:pt idx="4">
                  <c:v>101.386238891793</c:v>
                </c:pt>
                <c:pt idx="5">
                  <c:v>103.58816663673909</c:v>
                </c:pt>
                <c:pt idx="6">
                  <c:v>91.678933696190001</c:v>
                </c:pt>
                <c:pt idx="7">
                  <c:v>93.390717299578057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30.372682034705679</c:v>
                </c:pt>
                <c:pt idx="1">
                  <c:v>30.372682034705679</c:v>
                </c:pt>
                <c:pt idx="2">
                  <c:v>26.231655989272944</c:v>
                </c:pt>
                <c:pt idx="3">
                  <c:v>28.499878187428944</c:v>
                </c:pt>
                <c:pt idx="4">
                  <c:v>31.211665795434744</c:v>
                </c:pt>
                <c:pt idx="5">
                  <c:v>31.07481145627581</c:v>
                </c:pt>
                <c:pt idx="6">
                  <c:v>26.751917367639784</c:v>
                </c:pt>
                <c:pt idx="7">
                  <c:v>26.027426160337555</c:v>
                </c:pt>
              </c:numCache>
            </c:numRef>
          </c:val>
          <c:smooth val="1"/>
        </c:ser>
        <c:marker val="1"/>
        <c:axId val="97092352"/>
        <c:axId val="97093888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85E-2"/>
                  <c:y val="-0.11629689107034592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97113600"/>
        <c:axId val="97112064"/>
      </c:lineChart>
      <c:catAx>
        <c:axId val="9709235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97093888"/>
        <c:crosses val="autoZero"/>
        <c:auto val="1"/>
        <c:lblAlgn val="ctr"/>
        <c:lblOffset val="100"/>
      </c:catAx>
      <c:valAx>
        <c:axId val="97093888"/>
        <c:scaling>
          <c:orientation val="minMax"/>
          <c:max val="125.3057999640869"/>
          <c:min val="19.821940928270045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97092352"/>
        <c:crosses val="autoZero"/>
        <c:crossBetween val="between"/>
      </c:valAx>
      <c:valAx>
        <c:axId val="9711206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97113600"/>
        <c:crosses val="max"/>
        <c:crossBetween val="between"/>
      </c:valAx>
      <c:catAx>
        <c:axId val="97113600"/>
        <c:scaling>
          <c:orientation val="minMax"/>
        </c:scaling>
        <c:delete val="1"/>
        <c:axPos val="b"/>
        <c:tickLblPos val="none"/>
        <c:crossAx val="9711206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576E-2"/>
          <c:w val="0.73874256145235251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689</c:v>
                </c:pt>
                <c:pt idx="1">
                  <c:v>374</c:v>
                </c:pt>
                <c:pt idx="2">
                  <c:v>1302</c:v>
                </c:pt>
                <c:pt idx="3">
                  <c:v>1286</c:v>
                </c:pt>
                <c:pt idx="4">
                  <c:v>1197</c:v>
                </c:pt>
                <c:pt idx="5">
                  <c:v>1223</c:v>
                </c:pt>
                <c:pt idx="6">
                  <c:v>798</c:v>
                </c:pt>
                <c:pt idx="7">
                  <c:v>1995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440</c:v>
                </c:pt>
                <c:pt idx="1">
                  <c:v>-17</c:v>
                </c:pt>
                <c:pt idx="2">
                  <c:v>878</c:v>
                </c:pt>
                <c:pt idx="3">
                  <c:v>1017</c:v>
                </c:pt>
                <c:pt idx="4">
                  <c:v>926</c:v>
                </c:pt>
                <c:pt idx="5">
                  <c:v>917</c:v>
                </c:pt>
                <c:pt idx="6">
                  <c:v>558</c:v>
                </c:pt>
                <c:pt idx="7">
                  <c:v>1697</c:v>
                </c:pt>
              </c:numCache>
            </c:numRef>
          </c:val>
        </c:ser>
        <c:gapWidth val="100"/>
        <c:axId val="98406400"/>
        <c:axId val="98407936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0.48106423037748081</c:v>
                </c:pt>
                <c:pt idx="1">
                  <c:v>0.46758682101513804</c:v>
                </c:pt>
                <c:pt idx="2">
                  <c:v>0.50232544619498865</c:v>
                </c:pt>
                <c:pt idx="3">
                  <c:v>0.48638914481949913</c:v>
                </c:pt>
                <c:pt idx="4">
                  <c:v>0.47505789898253925</c:v>
                </c:pt>
                <c:pt idx="5">
                  <c:v>0.46212978807423982</c:v>
                </c:pt>
                <c:pt idx="6">
                  <c:v>0.49886485216982857</c:v>
                </c:pt>
                <c:pt idx="7">
                  <c:v>0.47336441644759686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98411264"/>
        <c:axId val="98409472"/>
      </c:lineChart>
      <c:catAx>
        <c:axId val="9840640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98407936"/>
        <c:crosses val="autoZero"/>
        <c:auto val="1"/>
        <c:lblAlgn val="ctr"/>
        <c:lblOffset val="100"/>
      </c:catAx>
      <c:valAx>
        <c:axId val="9840793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98406400"/>
        <c:crosses val="autoZero"/>
        <c:crossBetween val="between"/>
      </c:valAx>
      <c:valAx>
        <c:axId val="98409472"/>
        <c:scaling>
          <c:orientation val="minMax"/>
          <c:min val="-3.0000000000000016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98411264"/>
        <c:crosses val="max"/>
        <c:crossBetween val="between"/>
      </c:valAx>
      <c:catAx>
        <c:axId val="98411264"/>
        <c:scaling>
          <c:orientation val="minMax"/>
        </c:scaling>
        <c:delete val="1"/>
        <c:axPos val="b"/>
        <c:tickLblPos val="none"/>
        <c:crossAx val="9840947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62"/>
          <c:y val="6.3932132322468985E-2"/>
          <c:w val="0.74659195050210436"/>
          <c:h val="0.87328441529948331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axId val="98480128"/>
        <c:axId val="98478336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1.4307692307692308</c:v>
                </c:pt>
                <c:pt idx="3">
                  <c:v>1.3739316239316239</c:v>
                </c:pt>
                <c:pt idx="4">
                  <c:v>1.2276923076923076</c:v>
                </c:pt>
                <c:pt idx="5">
                  <c:v>2.153169014084507</c:v>
                </c:pt>
                <c:pt idx="6">
                  <c:v>0</c:v>
                </c:pt>
                <c:pt idx="7">
                  <c:v>1.5696302124311565</c:v>
                </c:pt>
              </c:numCache>
            </c:numRef>
          </c:val>
        </c:ser>
        <c:gapWidth val="125"/>
        <c:axId val="98454528"/>
        <c:axId val="98476800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0.10408439912771851</c:v>
                </c:pt>
                <c:pt idx="2">
                  <c:v>0.10408439912771851</c:v>
                </c:pt>
                <c:pt idx="3">
                  <c:v>0.10232232289092751</c:v>
                </c:pt>
                <c:pt idx="4">
                  <c:v>9.9415995241442706E-2</c:v>
                </c:pt>
                <c:pt idx="5">
                  <c:v>8.8326513591701628E-2</c:v>
                </c:pt>
                <c:pt idx="6">
                  <c:v>9.1482215615020374E-2</c:v>
                </c:pt>
                <c:pt idx="7">
                  <c:v>9.230148116373546E-2</c:v>
                </c:pt>
              </c:numCache>
            </c:numRef>
          </c:val>
          <c:smooth val="1"/>
        </c:ser>
        <c:marker val="1"/>
        <c:axId val="98480128"/>
        <c:axId val="98478336"/>
      </c:lineChart>
      <c:catAx>
        <c:axId val="9845452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98476800"/>
        <c:crosses val="autoZero"/>
        <c:auto val="1"/>
        <c:lblAlgn val="ctr"/>
        <c:lblOffset val="100"/>
      </c:catAx>
      <c:valAx>
        <c:axId val="98476800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98454528"/>
        <c:crosses val="autoZero"/>
        <c:crossBetween val="between"/>
      </c:valAx>
      <c:valAx>
        <c:axId val="9847833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98480128"/>
        <c:crosses val="max"/>
        <c:crossBetween val="between"/>
      </c:valAx>
      <c:catAx>
        <c:axId val="98480128"/>
        <c:scaling>
          <c:orientation val="minMax"/>
        </c:scaling>
        <c:delete val="1"/>
        <c:axPos val="b"/>
        <c:tickLblPos val="none"/>
        <c:crossAx val="9847833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89" l="0.70000000000000062" r="0.70000000000000062" t="0.75000000000000289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25"/>
          <c:y val="3.1301940054012774E-2"/>
          <c:w val="0.75824839488840434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249</c:v>
                </c:pt>
                <c:pt idx="1">
                  <c:v>391</c:v>
                </c:pt>
                <c:pt idx="2">
                  <c:v>424</c:v>
                </c:pt>
                <c:pt idx="3">
                  <c:v>269</c:v>
                </c:pt>
                <c:pt idx="4">
                  <c:v>271</c:v>
                </c:pt>
                <c:pt idx="5">
                  <c:v>306</c:v>
                </c:pt>
                <c:pt idx="6">
                  <c:v>240</c:v>
                </c:pt>
                <c:pt idx="7">
                  <c:v>298</c:v>
                </c:pt>
              </c:numCache>
            </c:numRef>
          </c:val>
        </c:ser>
        <c:axId val="95358336"/>
        <c:axId val="95368320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gapWidth val="125"/>
        <c:axId val="95358336"/>
        <c:axId val="95368320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4.9232398094229753E-2</c:v>
                </c:pt>
                <c:pt idx="1">
                  <c:v>4.8996257230350462E-2</c:v>
                </c:pt>
                <c:pt idx="2">
                  <c:v>4.3057210965435043E-2</c:v>
                </c:pt>
                <c:pt idx="3">
                  <c:v>4.4502192626279032E-2</c:v>
                </c:pt>
                <c:pt idx="4">
                  <c:v>4.9137480397281753E-2</c:v>
                </c:pt>
                <c:pt idx="5">
                  <c:v>5.243311186927635E-2</c:v>
                </c:pt>
                <c:pt idx="6">
                  <c:v>4.7006432459178626E-2</c:v>
                </c:pt>
                <c:pt idx="7">
                  <c:v>4.7594936708860759E-2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3.8343762481693515E-2</c:v>
                </c:pt>
                <c:pt idx="1">
                  <c:v>3.8343762481693515E-2</c:v>
                </c:pt>
                <c:pt idx="2">
                  <c:v>3.330644231877377E-2</c:v>
                </c:pt>
                <c:pt idx="3">
                  <c:v>4.2526773242278444E-2</c:v>
                </c:pt>
                <c:pt idx="4">
                  <c:v>4.7910295616717634E-2</c:v>
                </c:pt>
                <c:pt idx="5">
                  <c:v>5.3745628566169705E-2</c:v>
                </c:pt>
                <c:pt idx="6">
                  <c:v>3.4722222222222224E-2</c:v>
                </c:pt>
                <c:pt idx="7">
                  <c:v>4.891587163920208E-2</c:v>
                </c:pt>
              </c:numCache>
            </c:numRef>
          </c:val>
          <c:smooth val="1"/>
        </c:ser>
        <c:marker val="1"/>
        <c:axId val="95375744"/>
        <c:axId val="95369856"/>
      </c:lineChart>
      <c:catAx>
        <c:axId val="953583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95368320"/>
        <c:crosses val="autoZero"/>
        <c:auto val="1"/>
        <c:lblAlgn val="ctr"/>
        <c:lblOffset val="100"/>
      </c:catAx>
      <c:valAx>
        <c:axId val="9536832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95358336"/>
        <c:crosses val="autoZero"/>
        <c:crossBetween val="between"/>
      </c:valAx>
      <c:valAx>
        <c:axId val="9536985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95375744"/>
        <c:crosses val="max"/>
        <c:crossBetween val="between"/>
      </c:valAx>
      <c:catAx>
        <c:axId val="95375744"/>
        <c:scaling>
          <c:orientation val="minMax"/>
        </c:scaling>
        <c:delete val="1"/>
        <c:axPos val="b"/>
        <c:tickLblPos val="none"/>
        <c:crossAx val="9536985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106"/>
          <c:y val="5.7874579665511273E-2"/>
          <c:w val="0.74877230585669552"/>
          <c:h val="0.88918578552103156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1.01</c:v>
                </c:pt>
                <c:pt idx="1">
                  <c:v>1.1200000000000001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1.19</c:v>
                </c:pt>
                <c:pt idx="5">
                  <c:v>0.7</c:v>
                </c:pt>
                <c:pt idx="6">
                  <c:v>1.03</c:v>
                </c:pt>
                <c:pt idx="7">
                  <c:v>1.48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gapWidth val="170"/>
        <c:overlap val="100"/>
        <c:axId val="98572928"/>
        <c:axId val="98582912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0.94556451612903225</c:v>
                </c:pt>
                <c:pt idx="1">
                  <c:v>0.92486085343228197</c:v>
                </c:pt>
                <c:pt idx="2">
                  <c:v>1.0285234899328859</c:v>
                </c:pt>
                <c:pt idx="3">
                  <c:v>0.95900321543408362</c:v>
                </c:pt>
                <c:pt idx="4">
                  <c:v>0.82972718720602068</c:v>
                </c:pt>
                <c:pt idx="5">
                  <c:v>1.0389610389610389</c:v>
                </c:pt>
                <c:pt idx="6">
                  <c:v>0.99073294018534119</c:v>
                </c:pt>
                <c:pt idx="7">
                  <c:v>0.67649028801071664</c:v>
                </c:pt>
              </c:numCache>
            </c:numRef>
          </c:val>
          <c:smooth val="1"/>
        </c:ser>
        <c:marker val="1"/>
        <c:axId val="98585984"/>
        <c:axId val="98584448"/>
      </c:lineChart>
      <c:catAx>
        <c:axId val="9857292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98582912"/>
        <c:crosses val="autoZero"/>
        <c:auto val="1"/>
        <c:lblAlgn val="ctr"/>
        <c:lblOffset val="100"/>
      </c:catAx>
      <c:valAx>
        <c:axId val="9858291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98572928"/>
        <c:crosses val="autoZero"/>
        <c:crossBetween val="between"/>
      </c:valAx>
      <c:valAx>
        <c:axId val="98584448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98585984"/>
        <c:crosses val="max"/>
        <c:crossBetween val="between"/>
      </c:valAx>
      <c:catAx>
        <c:axId val="98585984"/>
        <c:scaling>
          <c:orientation val="minMax"/>
        </c:scaling>
        <c:delete val="1"/>
        <c:axPos val="b"/>
        <c:tickLblPos val="none"/>
        <c:crossAx val="9858444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48"/>
          <c:w val="0.88395908009621549"/>
          <c:h val="0.75954052669684713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7665</c:v>
                </c:pt>
                <c:pt idx="1">
                  <c:v>7902</c:v>
                </c:pt>
                <c:pt idx="2">
                  <c:v>9101</c:v>
                </c:pt>
                <c:pt idx="3">
                  <c:v>8414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7875</c:v>
                </c:pt>
                <c:pt idx="1">
                  <c:v>7433</c:v>
                </c:pt>
                <c:pt idx="2">
                  <c:v>8448</c:v>
                </c:pt>
                <c:pt idx="3">
                  <c:v>8112</c:v>
                </c:pt>
              </c:numCache>
            </c:numRef>
          </c:val>
        </c:ser>
        <c:gapWidth val="65"/>
        <c:axId val="98601984"/>
        <c:axId val="98624256"/>
      </c:barChart>
      <c:catAx>
        <c:axId val="98601984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8624256"/>
        <c:crosses val="autoZero"/>
        <c:auto val="1"/>
        <c:lblAlgn val="ctr"/>
        <c:lblOffset val="100"/>
      </c:catAx>
      <c:valAx>
        <c:axId val="98624256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9860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68"/>
          <c:w val="0.90049010022061926"/>
          <c:h val="0.70987395863660663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136.58545660760615</c:v>
                </c:pt>
                <c:pt idx="1">
                  <c:v>136.58545660760615</c:v>
                </c:pt>
                <c:pt idx="2">
                  <c:v>124.38130479864162</c:v>
                </c:pt>
                <c:pt idx="3">
                  <c:v>135.8280301690196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149.39242936798348</c:v>
                </c:pt>
                <c:pt idx="1">
                  <c:v>152.75488935973115</c:v>
                </c:pt>
                <c:pt idx="2">
                  <c:v>134.57118630035666</c:v>
                </c:pt>
                <c:pt idx="3">
                  <c:v>138.90322962699423</c:v>
                </c:pt>
              </c:numCache>
            </c:numRef>
          </c:val>
          <c:smooth val="1"/>
        </c:ser>
        <c:dLbls>
          <c:showVal val="1"/>
        </c:dLbls>
        <c:marker val="1"/>
        <c:axId val="98523392"/>
        <c:axId val="98537472"/>
      </c:lineChart>
      <c:catAx>
        <c:axId val="98523392"/>
        <c:scaling>
          <c:orientation val="minMax"/>
        </c:scaling>
        <c:delete val="1"/>
        <c:axPos val="b"/>
        <c:majorTickMark val="none"/>
        <c:tickLblPos val="none"/>
        <c:crossAx val="98537472"/>
        <c:crosses val="autoZero"/>
        <c:auto val="1"/>
        <c:lblAlgn val="ctr"/>
        <c:lblOffset val="100"/>
      </c:catAx>
      <c:valAx>
        <c:axId val="98537472"/>
        <c:scaling>
          <c:orientation val="minMax"/>
          <c:max val="184.30586723167738"/>
          <c:min val="98.505043838913309"/>
        </c:scaling>
        <c:delete val="1"/>
        <c:axPos val="l"/>
        <c:numFmt formatCode="#,##0;[Red]\-#,##0" sourceLinked="1"/>
        <c:majorTickMark val="none"/>
        <c:tickLblPos val="none"/>
        <c:crossAx val="985233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567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gapWidth val="138"/>
        <c:overlap val="38"/>
        <c:axId val="140566912"/>
        <c:axId val="140568448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marker val="1"/>
        <c:axId val="140571776"/>
        <c:axId val="140569984"/>
      </c:lineChart>
      <c:dateAx>
        <c:axId val="14056691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0568448"/>
        <c:crosses val="autoZero"/>
        <c:lblOffset val="100"/>
        <c:baseTimeUnit val="days"/>
      </c:dateAx>
      <c:valAx>
        <c:axId val="14056844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0566912"/>
        <c:crosses val="autoZero"/>
        <c:crossBetween val="between"/>
      </c:valAx>
      <c:valAx>
        <c:axId val="140569984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0571776"/>
        <c:crosses val="max"/>
        <c:crossBetween val="between"/>
      </c:valAx>
      <c:dateAx>
        <c:axId val="140571776"/>
        <c:scaling>
          <c:orientation val="minMax"/>
        </c:scaling>
        <c:delete val="1"/>
        <c:axPos val="b"/>
        <c:numFmt formatCode="General" sourceLinked="1"/>
        <c:tickLblPos val="none"/>
        <c:crossAx val="140569984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621E-2"/>
          <c:y val="7.6339457567804025E-2"/>
          <c:w val="0.9122633245574634"/>
          <c:h val="0.76162697844589622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marker val="1"/>
        <c:axId val="139605504"/>
        <c:axId val="139607040"/>
      </c:lineChart>
      <c:catAx>
        <c:axId val="13960550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9607040"/>
        <c:crosses val="autoZero"/>
        <c:auto val="1"/>
        <c:lblAlgn val="ctr"/>
        <c:lblOffset val="100"/>
      </c:catAx>
      <c:valAx>
        <c:axId val="139607040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960550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705E-2"/>
          <c:y val="7.6339457567804025E-2"/>
          <c:w val="0.91226344792658953"/>
          <c:h val="0.76162697844589666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marker val="1"/>
        <c:axId val="139653888"/>
        <c:axId val="139655424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marker val="1"/>
        <c:axId val="140576256"/>
        <c:axId val="140574720"/>
      </c:lineChart>
      <c:catAx>
        <c:axId val="13965388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9655424"/>
        <c:crosses val="autoZero"/>
        <c:auto val="1"/>
        <c:lblAlgn val="ctr"/>
        <c:lblOffset val="100"/>
      </c:catAx>
      <c:valAx>
        <c:axId val="139655424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9653888"/>
        <c:crosses val="autoZero"/>
        <c:crossBetween val="between"/>
      </c:valAx>
      <c:valAx>
        <c:axId val="140574720"/>
        <c:scaling>
          <c:orientation val="minMax"/>
          <c:max val="207.28196625636673"/>
          <c:min val="42.642944634982861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40576256"/>
        <c:crosses val="max"/>
        <c:crossBetween val="between"/>
      </c:valAx>
      <c:catAx>
        <c:axId val="140576256"/>
        <c:scaling>
          <c:orientation val="minMax"/>
        </c:scaling>
        <c:delete val="1"/>
        <c:axPos val="b"/>
        <c:tickLblPos val="none"/>
        <c:crossAx val="140574720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711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gapWidth val="138"/>
        <c:overlap val="38"/>
        <c:axId val="140621696"/>
        <c:axId val="140623232"/>
      </c:barChart>
      <c:catAx>
        <c:axId val="14062169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0623232"/>
        <c:crosses val="autoZero"/>
        <c:auto val="1"/>
        <c:lblAlgn val="ctr"/>
        <c:lblOffset val="100"/>
      </c:catAx>
      <c:valAx>
        <c:axId val="140623232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062169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245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gapWidth val="138"/>
        <c:overlap val="38"/>
        <c:axId val="141336576"/>
        <c:axId val="141338112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marker val="1"/>
        <c:axId val="141345536"/>
        <c:axId val="141339648"/>
      </c:lineChart>
      <c:catAx>
        <c:axId val="14133657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1338112"/>
        <c:crosses val="autoZero"/>
        <c:auto val="1"/>
        <c:lblAlgn val="ctr"/>
        <c:lblOffset val="100"/>
      </c:catAx>
      <c:valAx>
        <c:axId val="141338112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1336576"/>
        <c:crosses val="autoZero"/>
        <c:crossBetween val="between"/>
      </c:valAx>
      <c:valAx>
        <c:axId val="141339648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41345536"/>
        <c:crosses val="max"/>
        <c:crossBetween val="between"/>
      </c:valAx>
      <c:catAx>
        <c:axId val="141345536"/>
        <c:scaling>
          <c:orientation val="minMax"/>
        </c:scaling>
        <c:delete val="1"/>
        <c:axPos val="b"/>
        <c:tickLblPos val="none"/>
        <c:crossAx val="141339648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28E-2"/>
          <c:y val="0.16182292279821928"/>
          <c:w val="0.80730084415123748"/>
          <c:h val="0.6805268318225185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gapWidth val="138"/>
        <c:overlap val="38"/>
        <c:axId val="141480704"/>
        <c:axId val="141482240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marker val="1"/>
        <c:axId val="141362688"/>
        <c:axId val="141361152"/>
      </c:lineChart>
      <c:catAx>
        <c:axId val="14148070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1482240"/>
        <c:crosses val="autoZero"/>
        <c:auto val="1"/>
        <c:lblAlgn val="ctr"/>
        <c:lblOffset val="100"/>
      </c:catAx>
      <c:valAx>
        <c:axId val="141482240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1480704"/>
        <c:crosses val="autoZero"/>
        <c:crossBetween val="between"/>
      </c:valAx>
      <c:valAx>
        <c:axId val="141361152"/>
        <c:scaling>
          <c:orientation val="minMax"/>
          <c:max val="0.424613800205974"/>
          <c:min val="1.7723880597014945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41362688"/>
        <c:crosses val="max"/>
        <c:crossBetween val="between"/>
      </c:valAx>
      <c:catAx>
        <c:axId val="141362688"/>
        <c:scaling>
          <c:orientation val="minMax"/>
        </c:scaling>
        <c:delete val="1"/>
        <c:axPos val="b"/>
        <c:tickLblPos val="none"/>
        <c:crossAx val="141361152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537369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2106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2106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2106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2106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2106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queryTable" Target="../queryTables/queryTable1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vmlDrawing" Target="../drawings/vmlDrawing5.vml"/><Relationship Id="rId117" Type="http://schemas.openxmlformats.org/officeDocument/2006/relationships/queryTable" Target="../queryTables/queryTable80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queryTable" Target="../queryTables/queryTable5.xml"/><Relationship Id="rId47" Type="http://schemas.openxmlformats.org/officeDocument/2006/relationships/queryTable" Target="../queryTables/queryTable10.xml"/><Relationship Id="rId63" Type="http://schemas.openxmlformats.org/officeDocument/2006/relationships/queryTable" Target="../queryTables/queryTable26.xml"/><Relationship Id="rId68" Type="http://schemas.openxmlformats.org/officeDocument/2006/relationships/queryTable" Target="../queryTables/queryTable31.xml"/><Relationship Id="rId84" Type="http://schemas.openxmlformats.org/officeDocument/2006/relationships/queryTable" Target="../queryTables/queryTable47.xml"/><Relationship Id="rId89" Type="http://schemas.openxmlformats.org/officeDocument/2006/relationships/queryTable" Target="../queryTables/queryTable52.xml"/><Relationship Id="rId112" Type="http://schemas.openxmlformats.org/officeDocument/2006/relationships/queryTable" Target="../queryTables/queryTable75.xml"/><Relationship Id="rId133" Type="http://schemas.openxmlformats.org/officeDocument/2006/relationships/queryTable" Target="../queryTables/queryTable96.xml"/><Relationship Id="rId138" Type="http://schemas.openxmlformats.org/officeDocument/2006/relationships/queryTable" Target="../queryTables/queryTable101.xml"/><Relationship Id="rId154" Type="http://schemas.openxmlformats.org/officeDocument/2006/relationships/queryTable" Target="../queryTables/queryTable117.xml"/><Relationship Id="rId159" Type="http://schemas.openxmlformats.org/officeDocument/2006/relationships/queryTable" Target="../queryTables/queryTable122.xml"/><Relationship Id="rId16" Type="http://schemas.openxmlformats.org/officeDocument/2006/relationships/hyperlink" Target="http://norway.twsthr.info/StockHolders.aspx?stock=3227" TargetMode="External"/><Relationship Id="rId107" Type="http://schemas.openxmlformats.org/officeDocument/2006/relationships/queryTable" Target="../queryTables/queryTable70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7.xml"/><Relationship Id="rId37" Type="http://schemas.openxmlformats.org/officeDocument/2006/relationships/control" Target="../activeX/activeX62.xml"/><Relationship Id="rId53" Type="http://schemas.openxmlformats.org/officeDocument/2006/relationships/queryTable" Target="../queryTables/queryTable16.xml"/><Relationship Id="rId58" Type="http://schemas.openxmlformats.org/officeDocument/2006/relationships/queryTable" Target="../queryTables/queryTable21.xml"/><Relationship Id="rId74" Type="http://schemas.openxmlformats.org/officeDocument/2006/relationships/queryTable" Target="../queryTables/queryTable37.xml"/><Relationship Id="rId79" Type="http://schemas.openxmlformats.org/officeDocument/2006/relationships/queryTable" Target="../queryTables/queryTable42.xml"/><Relationship Id="rId102" Type="http://schemas.openxmlformats.org/officeDocument/2006/relationships/queryTable" Target="../queryTables/queryTable65.xml"/><Relationship Id="rId123" Type="http://schemas.openxmlformats.org/officeDocument/2006/relationships/queryTable" Target="../queryTables/queryTable86.xml"/><Relationship Id="rId128" Type="http://schemas.openxmlformats.org/officeDocument/2006/relationships/queryTable" Target="../queryTables/queryTable91.xml"/><Relationship Id="rId144" Type="http://schemas.openxmlformats.org/officeDocument/2006/relationships/queryTable" Target="../queryTables/queryTable107.xml"/><Relationship Id="rId149" Type="http://schemas.openxmlformats.org/officeDocument/2006/relationships/queryTable" Target="../queryTables/queryTable112.xml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queryTable" Target="../queryTables/queryTable53.xml"/><Relationship Id="rId95" Type="http://schemas.openxmlformats.org/officeDocument/2006/relationships/queryTable" Target="../queryTables/queryTable58.xml"/><Relationship Id="rId160" Type="http://schemas.openxmlformats.org/officeDocument/2006/relationships/queryTable" Target="../queryTables/queryTable123.xml"/><Relationship Id="rId165" Type="http://schemas.openxmlformats.org/officeDocument/2006/relationships/queryTable" Target="../queryTables/queryTable128.xml"/><Relationship Id="rId22" Type="http://schemas.openxmlformats.org/officeDocument/2006/relationships/hyperlink" Target="http://norway.twsthr.info/StockHolders.aspx?stock=5490" TargetMode="External"/><Relationship Id="rId27" Type="http://schemas.openxmlformats.org/officeDocument/2006/relationships/control" Target="../activeX/activeX52.xml"/><Relationship Id="rId43" Type="http://schemas.openxmlformats.org/officeDocument/2006/relationships/queryTable" Target="../queryTables/queryTable6.xml"/><Relationship Id="rId48" Type="http://schemas.openxmlformats.org/officeDocument/2006/relationships/queryTable" Target="../queryTables/queryTable11.xml"/><Relationship Id="rId64" Type="http://schemas.openxmlformats.org/officeDocument/2006/relationships/queryTable" Target="../queryTables/queryTable27.xml"/><Relationship Id="rId69" Type="http://schemas.openxmlformats.org/officeDocument/2006/relationships/queryTable" Target="../queryTables/queryTable32.xml"/><Relationship Id="rId113" Type="http://schemas.openxmlformats.org/officeDocument/2006/relationships/queryTable" Target="../queryTables/queryTable76.xml"/><Relationship Id="rId118" Type="http://schemas.openxmlformats.org/officeDocument/2006/relationships/queryTable" Target="../queryTables/queryTable81.xml"/><Relationship Id="rId134" Type="http://schemas.openxmlformats.org/officeDocument/2006/relationships/queryTable" Target="../queryTables/queryTable97.xml"/><Relationship Id="rId139" Type="http://schemas.openxmlformats.org/officeDocument/2006/relationships/queryTable" Target="../queryTables/queryTable102.xml"/><Relationship Id="rId80" Type="http://schemas.openxmlformats.org/officeDocument/2006/relationships/queryTable" Target="../queryTables/queryTable43.xml"/><Relationship Id="rId85" Type="http://schemas.openxmlformats.org/officeDocument/2006/relationships/queryTable" Target="../queryTables/queryTable48.xml"/><Relationship Id="rId150" Type="http://schemas.openxmlformats.org/officeDocument/2006/relationships/queryTable" Target="../queryTables/queryTable113.xml"/><Relationship Id="rId155" Type="http://schemas.openxmlformats.org/officeDocument/2006/relationships/queryTable" Target="../queryTables/queryTable118.xml"/><Relationship Id="rId12" Type="http://schemas.openxmlformats.org/officeDocument/2006/relationships/hyperlink" Target="http://norway.twsthr.info/StockHolders.aspx?stock=2379" TargetMode="External"/><Relationship Id="rId17" Type="http://schemas.openxmlformats.org/officeDocument/2006/relationships/hyperlink" Target="http://norway.twsthr.info/StockHolders.aspx?stock=3673" TargetMode="External"/><Relationship Id="rId33" Type="http://schemas.openxmlformats.org/officeDocument/2006/relationships/control" Target="../activeX/activeX58.xml"/><Relationship Id="rId38" Type="http://schemas.openxmlformats.org/officeDocument/2006/relationships/control" Target="../activeX/activeX63.xml"/><Relationship Id="rId59" Type="http://schemas.openxmlformats.org/officeDocument/2006/relationships/queryTable" Target="../queryTables/queryTable22.xml"/><Relationship Id="rId103" Type="http://schemas.openxmlformats.org/officeDocument/2006/relationships/queryTable" Target="../queryTables/queryTable66.xml"/><Relationship Id="rId108" Type="http://schemas.openxmlformats.org/officeDocument/2006/relationships/queryTable" Target="../queryTables/queryTable71.xml"/><Relationship Id="rId124" Type="http://schemas.openxmlformats.org/officeDocument/2006/relationships/queryTable" Target="../queryTables/queryTable87.xml"/><Relationship Id="rId129" Type="http://schemas.openxmlformats.org/officeDocument/2006/relationships/queryTable" Target="../queryTables/queryTable92.xml"/><Relationship Id="rId54" Type="http://schemas.openxmlformats.org/officeDocument/2006/relationships/queryTable" Target="../queryTables/queryTable17.xml"/><Relationship Id="rId70" Type="http://schemas.openxmlformats.org/officeDocument/2006/relationships/queryTable" Target="../queryTables/queryTable33.xml"/><Relationship Id="rId75" Type="http://schemas.openxmlformats.org/officeDocument/2006/relationships/queryTable" Target="../queryTables/queryTable38.xml"/><Relationship Id="rId91" Type="http://schemas.openxmlformats.org/officeDocument/2006/relationships/queryTable" Target="../queryTables/queryTable54.xml"/><Relationship Id="rId96" Type="http://schemas.openxmlformats.org/officeDocument/2006/relationships/queryTable" Target="../queryTables/queryTable59.xml"/><Relationship Id="rId140" Type="http://schemas.openxmlformats.org/officeDocument/2006/relationships/queryTable" Target="../queryTables/queryTable103.xml"/><Relationship Id="rId145" Type="http://schemas.openxmlformats.org/officeDocument/2006/relationships/queryTable" Target="../queryTables/queryTable108.xml"/><Relationship Id="rId161" Type="http://schemas.openxmlformats.org/officeDocument/2006/relationships/queryTable" Target="../queryTables/queryTable124.xml"/><Relationship Id="rId166" Type="http://schemas.openxmlformats.org/officeDocument/2006/relationships/queryTable" Target="../queryTables/queryTable129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482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61.xml"/><Relationship Id="rId49" Type="http://schemas.openxmlformats.org/officeDocument/2006/relationships/queryTable" Target="../queryTables/queryTable12.xml"/><Relationship Id="rId57" Type="http://schemas.openxmlformats.org/officeDocument/2006/relationships/queryTable" Target="../queryTables/queryTable20.xml"/><Relationship Id="rId106" Type="http://schemas.openxmlformats.org/officeDocument/2006/relationships/queryTable" Target="../queryTables/queryTable69.xml"/><Relationship Id="rId114" Type="http://schemas.openxmlformats.org/officeDocument/2006/relationships/queryTable" Target="../queryTables/queryTable77.xml"/><Relationship Id="rId119" Type="http://schemas.openxmlformats.org/officeDocument/2006/relationships/queryTable" Target="../queryTables/queryTable82.xml"/><Relationship Id="rId127" Type="http://schemas.openxmlformats.org/officeDocument/2006/relationships/queryTable" Target="../queryTables/queryTable90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control" Target="../activeX/activeX56.xml"/><Relationship Id="rId44" Type="http://schemas.openxmlformats.org/officeDocument/2006/relationships/queryTable" Target="../queryTables/queryTable7.xml"/><Relationship Id="rId52" Type="http://schemas.openxmlformats.org/officeDocument/2006/relationships/queryTable" Target="../queryTables/queryTable15.xml"/><Relationship Id="rId60" Type="http://schemas.openxmlformats.org/officeDocument/2006/relationships/queryTable" Target="../queryTables/queryTable23.xml"/><Relationship Id="rId65" Type="http://schemas.openxmlformats.org/officeDocument/2006/relationships/queryTable" Target="../queryTables/queryTable28.xml"/><Relationship Id="rId73" Type="http://schemas.openxmlformats.org/officeDocument/2006/relationships/queryTable" Target="../queryTables/queryTable36.xml"/><Relationship Id="rId78" Type="http://schemas.openxmlformats.org/officeDocument/2006/relationships/queryTable" Target="../queryTables/queryTable41.xml"/><Relationship Id="rId81" Type="http://schemas.openxmlformats.org/officeDocument/2006/relationships/queryTable" Target="../queryTables/queryTable44.xml"/><Relationship Id="rId86" Type="http://schemas.openxmlformats.org/officeDocument/2006/relationships/queryTable" Target="../queryTables/queryTable49.xml"/><Relationship Id="rId94" Type="http://schemas.openxmlformats.org/officeDocument/2006/relationships/queryTable" Target="../queryTables/queryTable57.xml"/><Relationship Id="rId99" Type="http://schemas.openxmlformats.org/officeDocument/2006/relationships/queryTable" Target="../queryTables/queryTable62.xml"/><Relationship Id="rId101" Type="http://schemas.openxmlformats.org/officeDocument/2006/relationships/queryTable" Target="../queryTables/queryTable64.xml"/><Relationship Id="rId122" Type="http://schemas.openxmlformats.org/officeDocument/2006/relationships/queryTable" Target="../queryTables/queryTable85.xml"/><Relationship Id="rId130" Type="http://schemas.openxmlformats.org/officeDocument/2006/relationships/queryTable" Target="../queryTables/queryTable93.xml"/><Relationship Id="rId135" Type="http://schemas.openxmlformats.org/officeDocument/2006/relationships/queryTable" Target="../queryTables/queryTable98.xml"/><Relationship Id="rId143" Type="http://schemas.openxmlformats.org/officeDocument/2006/relationships/queryTable" Target="../queryTables/queryTable106.xml"/><Relationship Id="rId148" Type="http://schemas.openxmlformats.org/officeDocument/2006/relationships/queryTable" Target="../queryTables/queryTable111.xml"/><Relationship Id="rId151" Type="http://schemas.openxmlformats.org/officeDocument/2006/relationships/queryTable" Target="../queryTables/queryTable114.xml"/><Relationship Id="rId156" Type="http://schemas.openxmlformats.org/officeDocument/2006/relationships/queryTable" Target="../queryTables/queryTable119.xml"/><Relationship Id="rId164" Type="http://schemas.openxmlformats.org/officeDocument/2006/relationships/queryTable" Target="../queryTables/queryTable127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queryTable" Target="../queryTables/queryTable2.xml"/><Relationship Id="rId109" Type="http://schemas.openxmlformats.org/officeDocument/2006/relationships/queryTable" Target="../queryTables/queryTable72.xml"/><Relationship Id="rId34" Type="http://schemas.openxmlformats.org/officeDocument/2006/relationships/control" Target="../activeX/activeX59.xml"/><Relationship Id="rId50" Type="http://schemas.openxmlformats.org/officeDocument/2006/relationships/queryTable" Target="../queryTables/queryTable13.xml"/><Relationship Id="rId55" Type="http://schemas.openxmlformats.org/officeDocument/2006/relationships/queryTable" Target="../queryTables/queryTable18.xml"/><Relationship Id="rId76" Type="http://schemas.openxmlformats.org/officeDocument/2006/relationships/queryTable" Target="../queryTables/queryTable39.xml"/><Relationship Id="rId97" Type="http://schemas.openxmlformats.org/officeDocument/2006/relationships/queryTable" Target="../queryTables/queryTable60.xml"/><Relationship Id="rId104" Type="http://schemas.openxmlformats.org/officeDocument/2006/relationships/queryTable" Target="../queryTables/queryTable67.xml"/><Relationship Id="rId120" Type="http://schemas.openxmlformats.org/officeDocument/2006/relationships/queryTable" Target="../queryTables/queryTable83.xml"/><Relationship Id="rId125" Type="http://schemas.openxmlformats.org/officeDocument/2006/relationships/queryTable" Target="../queryTables/queryTable88.xml"/><Relationship Id="rId141" Type="http://schemas.openxmlformats.org/officeDocument/2006/relationships/queryTable" Target="../queryTables/queryTable104.xml"/><Relationship Id="rId146" Type="http://schemas.openxmlformats.org/officeDocument/2006/relationships/queryTable" Target="../queryTables/queryTable109.xml"/><Relationship Id="rId167" Type="http://schemas.openxmlformats.org/officeDocument/2006/relationships/queryTable" Target="../queryTables/queryTable130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34.xml"/><Relationship Id="rId92" Type="http://schemas.openxmlformats.org/officeDocument/2006/relationships/queryTable" Target="../queryTables/queryTable55.xml"/><Relationship Id="rId162" Type="http://schemas.openxmlformats.org/officeDocument/2006/relationships/queryTable" Target="../queryTables/queryTable125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control" Target="../activeX/activeX54.xml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queryTable" Target="../queryTables/queryTable3.xml"/><Relationship Id="rId45" Type="http://schemas.openxmlformats.org/officeDocument/2006/relationships/queryTable" Target="../queryTables/queryTable8.xml"/><Relationship Id="rId66" Type="http://schemas.openxmlformats.org/officeDocument/2006/relationships/queryTable" Target="../queryTables/queryTable29.xml"/><Relationship Id="rId87" Type="http://schemas.openxmlformats.org/officeDocument/2006/relationships/queryTable" Target="../queryTables/queryTable50.xml"/><Relationship Id="rId110" Type="http://schemas.openxmlformats.org/officeDocument/2006/relationships/queryTable" Target="../queryTables/queryTable73.xml"/><Relationship Id="rId115" Type="http://schemas.openxmlformats.org/officeDocument/2006/relationships/queryTable" Target="../queryTables/queryTable78.xml"/><Relationship Id="rId131" Type="http://schemas.openxmlformats.org/officeDocument/2006/relationships/queryTable" Target="../queryTables/queryTable94.xml"/><Relationship Id="rId136" Type="http://schemas.openxmlformats.org/officeDocument/2006/relationships/queryTable" Target="../queryTables/queryTable99.xml"/><Relationship Id="rId157" Type="http://schemas.openxmlformats.org/officeDocument/2006/relationships/queryTable" Target="../queryTables/queryTable120.xml"/><Relationship Id="rId61" Type="http://schemas.openxmlformats.org/officeDocument/2006/relationships/queryTable" Target="../queryTables/queryTable24.xml"/><Relationship Id="rId82" Type="http://schemas.openxmlformats.org/officeDocument/2006/relationships/queryTable" Target="../queryTables/queryTable45.xml"/><Relationship Id="rId152" Type="http://schemas.openxmlformats.org/officeDocument/2006/relationships/queryTable" Target="../queryTables/queryTable115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5.xml"/><Relationship Id="rId35" Type="http://schemas.openxmlformats.org/officeDocument/2006/relationships/control" Target="../activeX/activeX60.xml"/><Relationship Id="rId56" Type="http://schemas.openxmlformats.org/officeDocument/2006/relationships/queryTable" Target="../queryTables/queryTable19.xml"/><Relationship Id="rId77" Type="http://schemas.openxmlformats.org/officeDocument/2006/relationships/queryTable" Target="../queryTables/queryTable40.xml"/><Relationship Id="rId100" Type="http://schemas.openxmlformats.org/officeDocument/2006/relationships/queryTable" Target="../queryTables/queryTable63.xml"/><Relationship Id="rId105" Type="http://schemas.openxmlformats.org/officeDocument/2006/relationships/queryTable" Target="../queryTables/queryTable68.xml"/><Relationship Id="rId126" Type="http://schemas.openxmlformats.org/officeDocument/2006/relationships/queryTable" Target="../queryTables/queryTable89.xml"/><Relationship Id="rId147" Type="http://schemas.openxmlformats.org/officeDocument/2006/relationships/queryTable" Target="../queryTables/queryTable110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queryTable" Target="../queryTables/queryTable14.xml"/><Relationship Id="rId72" Type="http://schemas.openxmlformats.org/officeDocument/2006/relationships/queryTable" Target="../queryTables/queryTable35.xml"/><Relationship Id="rId93" Type="http://schemas.openxmlformats.org/officeDocument/2006/relationships/queryTable" Target="../queryTables/queryTable56.xml"/><Relationship Id="rId98" Type="http://schemas.openxmlformats.org/officeDocument/2006/relationships/queryTable" Target="../queryTables/queryTable61.xml"/><Relationship Id="rId121" Type="http://schemas.openxmlformats.org/officeDocument/2006/relationships/queryTable" Target="../queryTables/queryTable84.xml"/><Relationship Id="rId142" Type="http://schemas.openxmlformats.org/officeDocument/2006/relationships/queryTable" Target="../queryTables/queryTable105.xml"/><Relationship Id="rId163" Type="http://schemas.openxmlformats.org/officeDocument/2006/relationships/queryTable" Target="../queryTables/queryTable126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queryTable" Target="../queryTables/queryTable9.xml"/><Relationship Id="rId67" Type="http://schemas.openxmlformats.org/officeDocument/2006/relationships/queryTable" Target="../queryTables/queryTable30.xml"/><Relationship Id="rId116" Type="http://schemas.openxmlformats.org/officeDocument/2006/relationships/queryTable" Target="../queryTables/queryTable79.xml"/><Relationship Id="rId137" Type="http://schemas.openxmlformats.org/officeDocument/2006/relationships/queryTable" Target="../queryTables/queryTable100.xml"/><Relationship Id="rId158" Type="http://schemas.openxmlformats.org/officeDocument/2006/relationships/queryTable" Target="../queryTables/queryTable121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queryTable" Target="../queryTables/queryTable4.xml"/><Relationship Id="rId62" Type="http://schemas.openxmlformats.org/officeDocument/2006/relationships/queryTable" Target="../queryTables/queryTable25.xml"/><Relationship Id="rId83" Type="http://schemas.openxmlformats.org/officeDocument/2006/relationships/queryTable" Target="../queryTables/queryTable46.xml"/><Relationship Id="rId88" Type="http://schemas.openxmlformats.org/officeDocument/2006/relationships/queryTable" Target="../queryTables/queryTable51.xml"/><Relationship Id="rId111" Type="http://schemas.openxmlformats.org/officeDocument/2006/relationships/queryTable" Target="../queryTables/queryTable74.xml"/><Relationship Id="rId132" Type="http://schemas.openxmlformats.org/officeDocument/2006/relationships/queryTable" Target="../queryTables/queryTable95.xml"/><Relationship Id="rId153" Type="http://schemas.openxmlformats.org/officeDocument/2006/relationships/queryTable" Target="../queryTables/queryTable1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3" Type="http://schemas.openxmlformats.org/officeDocument/2006/relationships/control" Target="../activeX/activeX73.xml"/><Relationship Id="rId7" Type="http://schemas.openxmlformats.org/officeDocument/2006/relationships/queryTable" Target="../queryTables/queryTable13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5" Type="http://schemas.openxmlformats.org/officeDocument/2006/relationships/control" Target="../activeX/activeX75.xml"/><Relationship Id="rId4" Type="http://schemas.openxmlformats.org/officeDocument/2006/relationships/control" Target="../activeX/activeX7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control" Target="../activeX/activeX77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5.xml"/><Relationship Id="rId5" Type="http://schemas.openxmlformats.org/officeDocument/2006/relationships/control" Target="../activeX/activeX79.xml"/><Relationship Id="rId10" Type="http://schemas.openxmlformats.org/officeDocument/2006/relationships/control" Target="../activeX/activeX84.xml"/><Relationship Id="rId4" Type="http://schemas.openxmlformats.org/officeDocument/2006/relationships/control" Target="../activeX/activeX78.xml"/><Relationship Id="rId9" Type="http://schemas.openxmlformats.org/officeDocument/2006/relationships/control" Target="../activeX/activeX8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7" Type="http://schemas.openxmlformats.org/officeDocument/2006/relationships/control" Target="../activeX/activeX92.xml"/><Relationship Id="rId2" Type="http://schemas.openxmlformats.org/officeDocument/2006/relationships/control" Target="../activeX/activeX87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3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6.xml"/><Relationship Id="rId4" Type="http://schemas.openxmlformats.org/officeDocument/2006/relationships/control" Target="../activeX/activeX9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0.xml"/><Relationship Id="rId18" Type="http://schemas.openxmlformats.org/officeDocument/2006/relationships/queryTable" Target="../queryTables/queryTable155.xml"/><Relationship Id="rId26" Type="http://schemas.openxmlformats.org/officeDocument/2006/relationships/queryTable" Target="../queryTables/queryTable163.xml"/><Relationship Id="rId39" Type="http://schemas.openxmlformats.org/officeDocument/2006/relationships/queryTable" Target="../queryTables/queryTable176.xml"/><Relationship Id="rId21" Type="http://schemas.openxmlformats.org/officeDocument/2006/relationships/queryTable" Target="../queryTables/queryTable158.xml"/><Relationship Id="rId34" Type="http://schemas.openxmlformats.org/officeDocument/2006/relationships/queryTable" Target="../queryTables/queryTable171.xml"/><Relationship Id="rId42" Type="http://schemas.openxmlformats.org/officeDocument/2006/relationships/queryTable" Target="../queryTables/queryTable179.xml"/><Relationship Id="rId47" Type="http://schemas.openxmlformats.org/officeDocument/2006/relationships/queryTable" Target="../queryTables/queryTable184.xml"/><Relationship Id="rId50" Type="http://schemas.openxmlformats.org/officeDocument/2006/relationships/queryTable" Target="../queryTables/queryTable187.xml"/><Relationship Id="rId55" Type="http://schemas.openxmlformats.org/officeDocument/2006/relationships/queryTable" Target="../queryTables/queryTable192.xml"/><Relationship Id="rId7" Type="http://schemas.openxmlformats.org/officeDocument/2006/relationships/queryTable" Target="../queryTables/queryTable144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153.xml"/><Relationship Id="rId20" Type="http://schemas.openxmlformats.org/officeDocument/2006/relationships/queryTable" Target="../queryTables/queryTable157.xml"/><Relationship Id="rId29" Type="http://schemas.openxmlformats.org/officeDocument/2006/relationships/queryTable" Target="../queryTables/queryTable166.xml"/><Relationship Id="rId41" Type="http://schemas.openxmlformats.org/officeDocument/2006/relationships/queryTable" Target="../queryTables/queryTable178.xml"/><Relationship Id="rId54" Type="http://schemas.openxmlformats.org/officeDocument/2006/relationships/queryTable" Target="../queryTables/queryTable19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43.xml"/><Relationship Id="rId11" Type="http://schemas.openxmlformats.org/officeDocument/2006/relationships/queryTable" Target="../queryTables/queryTable148.xml"/><Relationship Id="rId24" Type="http://schemas.openxmlformats.org/officeDocument/2006/relationships/queryTable" Target="../queryTables/queryTable161.xml"/><Relationship Id="rId32" Type="http://schemas.openxmlformats.org/officeDocument/2006/relationships/queryTable" Target="../queryTables/queryTable169.xml"/><Relationship Id="rId37" Type="http://schemas.openxmlformats.org/officeDocument/2006/relationships/queryTable" Target="../queryTables/queryTable174.xml"/><Relationship Id="rId40" Type="http://schemas.openxmlformats.org/officeDocument/2006/relationships/queryTable" Target="../queryTables/queryTable177.xml"/><Relationship Id="rId45" Type="http://schemas.openxmlformats.org/officeDocument/2006/relationships/queryTable" Target="../queryTables/queryTable182.xml"/><Relationship Id="rId53" Type="http://schemas.openxmlformats.org/officeDocument/2006/relationships/queryTable" Target="../queryTables/queryTable190.xml"/><Relationship Id="rId58" Type="http://schemas.openxmlformats.org/officeDocument/2006/relationships/queryTable" Target="../queryTables/queryTable195.xml"/><Relationship Id="rId5" Type="http://schemas.openxmlformats.org/officeDocument/2006/relationships/queryTable" Target="../queryTables/queryTable142.xml"/><Relationship Id="rId15" Type="http://schemas.openxmlformats.org/officeDocument/2006/relationships/queryTable" Target="../queryTables/queryTable152.xml"/><Relationship Id="rId23" Type="http://schemas.openxmlformats.org/officeDocument/2006/relationships/queryTable" Target="../queryTables/queryTable160.xml"/><Relationship Id="rId28" Type="http://schemas.openxmlformats.org/officeDocument/2006/relationships/queryTable" Target="../queryTables/queryTable165.xml"/><Relationship Id="rId36" Type="http://schemas.openxmlformats.org/officeDocument/2006/relationships/queryTable" Target="../queryTables/queryTable173.xml"/><Relationship Id="rId49" Type="http://schemas.openxmlformats.org/officeDocument/2006/relationships/queryTable" Target="../queryTables/queryTable186.xml"/><Relationship Id="rId57" Type="http://schemas.openxmlformats.org/officeDocument/2006/relationships/queryTable" Target="../queryTables/queryTable194.xml"/><Relationship Id="rId61" Type="http://schemas.openxmlformats.org/officeDocument/2006/relationships/queryTable" Target="../queryTables/queryTable198.xml"/><Relationship Id="rId10" Type="http://schemas.openxmlformats.org/officeDocument/2006/relationships/queryTable" Target="../queryTables/queryTable147.xml"/><Relationship Id="rId19" Type="http://schemas.openxmlformats.org/officeDocument/2006/relationships/queryTable" Target="../queryTables/queryTable156.xml"/><Relationship Id="rId31" Type="http://schemas.openxmlformats.org/officeDocument/2006/relationships/queryTable" Target="../queryTables/queryTable168.xml"/><Relationship Id="rId44" Type="http://schemas.openxmlformats.org/officeDocument/2006/relationships/queryTable" Target="../queryTables/queryTable181.xml"/><Relationship Id="rId52" Type="http://schemas.openxmlformats.org/officeDocument/2006/relationships/queryTable" Target="../queryTables/queryTable189.xml"/><Relationship Id="rId60" Type="http://schemas.openxmlformats.org/officeDocument/2006/relationships/queryTable" Target="../queryTables/queryTable197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46.xml"/><Relationship Id="rId14" Type="http://schemas.openxmlformats.org/officeDocument/2006/relationships/queryTable" Target="../queryTables/queryTable151.xml"/><Relationship Id="rId22" Type="http://schemas.openxmlformats.org/officeDocument/2006/relationships/queryTable" Target="../queryTables/queryTable159.xml"/><Relationship Id="rId27" Type="http://schemas.openxmlformats.org/officeDocument/2006/relationships/queryTable" Target="../queryTables/queryTable164.xml"/><Relationship Id="rId30" Type="http://schemas.openxmlformats.org/officeDocument/2006/relationships/queryTable" Target="../queryTables/queryTable167.xml"/><Relationship Id="rId35" Type="http://schemas.openxmlformats.org/officeDocument/2006/relationships/queryTable" Target="../queryTables/queryTable172.xml"/><Relationship Id="rId43" Type="http://schemas.openxmlformats.org/officeDocument/2006/relationships/queryTable" Target="../queryTables/queryTable180.xml"/><Relationship Id="rId48" Type="http://schemas.openxmlformats.org/officeDocument/2006/relationships/queryTable" Target="../queryTables/queryTable185.xml"/><Relationship Id="rId56" Type="http://schemas.openxmlformats.org/officeDocument/2006/relationships/queryTable" Target="../queryTables/queryTable193.xml"/><Relationship Id="rId8" Type="http://schemas.openxmlformats.org/officeDocument/2006/relationships/queryTable" Target="../queryTables/queryTable145.xml"/><Relationship Id="rId51" Type="http://schemas.openxmlformats.org/officeDocument/2006/relationships/queryTable" Target="../queryTables/queryTable188.xml"/><Relationship Id="rId3" Type="http://schemas.openxmlformats.org/officeDocument/2006/relationships/control" Target="../activeX/activeX98.xml"/><Relationship Id="rId12" Type="http://schemas.openxmlformats.org/officeDocument/2006/relationships/queryTable" Target="../queryTables/queryTable149.xml"/><Relationship Id="rId17" Type="http://schemas.openxmlformats.org/officeDocument/2006/relationships/queryTable" Target="../queryTables/queryTable154.xml"/><Relationship Id="rId25" Type="http://schemas.openxmlformats.org/officeDocument/2006/relationships/queryTable" Target="../queryTables/queryTable162.xml"/><Relationship Id="rId33" Type="http://schemas.openxmlformats.org/officeDocument/2006/relationships/queryTable" Target="../queryTables/queryTable170.xml"/><Relationship Id="rId38" Type="http://schemas.openxmlformats.org/officeDocument/2006/relationships/queryTable" Target="../queryTables/queryTable175.xml"/><Relationship Id="rId46" Type="http://schemas.openxmlformats.org/officeDocument/2006/relationships/queryTable" Target="../queryTables/queryTable183.xml"/><Relationship Id="rId59" Type="http://schemas.openxmlformats.org/officeDocument/2006/relationships/queryTable" Target="../queryTables/queryTable19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42400</v>
      </c>
      <c r="C2" s="145">
        <f ca="1">B2-WEEKDAY(TODAY())-1</f>
        <v>42398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42391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42384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42377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42370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42363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71" r:id="rId3" name="CommandButton2"/>
    <control shapeId="3276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2000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2001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2002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55" zoomScaleNormal="55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18" t="s">
        <v>2057</v>
      </c>
      <c r="B1" s="319" t="s">
        <v>2062</v>
      </c>
      <c r="C1" s="320">
        <v>12</v>
      </c>
      <c r="D1" s="1"/>
      <c r="E1" s="1"/>
      <c r="F1" s="1"/>
      <c r="G1" s="13"/>
      <c r="H1" s="1"/>
      <c r="I1" s="1"/>
      <c r="J1" s="2"/>
      <c r="M1" s="8"/>
      <c r="N1" s="183"/>
      <c r="O1" s="321">
        <v>1</v>
      </c>
      <c r="P1" s="209">
        <v>1</v>
      </c>
      <c r="Q1" s="209">
        <v>0</v>
      </c>
      <c r="R1" s="209">
        <v>1</v>
      </c>
      <c r="S1" s="322">
        <v>0</v>
      </c>
      <c r="T1" s="323" t="str">
        <f>"    合計 " &amp; SUM(O1:S1) &amp; " 分    "</f>
        <v xml:space="preserve">    合計 3 分    </v>
      </c>
      <c r="U1" s="324"/>
      <c r="V1" s="325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56" t="s">
        <v>1890</v>
      </c>
      <c r="G2" s="356"/>
      <c r="H2" s="356"/>
      <c r="I2" s="356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63" t="s">
        <v>9</v>
      </c>
      <c r="X2" s="363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7665</v>
      </c>
      <c r="P3" s="216">
        <f>VLOOKUP("營業收入淨額",$B$40:$L$500,8,0)</f>
        <v>7902</v>
      </c>
      <c r="Q3" s="216">
        <f>VLOOKUP("營業收入淨額",$B$40:$L$500,7,0)</f>
        <v>9101</v>
      </c>
      <c r="R3" s="216">
        <f>VLOOKUP("營業收入淨額",$B$40:$L$500,6,0)</f>
        <v>8414</v>
      </c>
      <c r="S3" s="216">
        <f>VLOOKUP("營業收入淨額",$B$40:$L$500,5,0)</f>
        <v>7875</v>
      </c>
      <c r="T3" s="216">
        <f>VLOOKUP("營業收入淨額",$B$40:$L$500,4,0)</f>
        <v>7433</v>
      </c>
      <c r="U3" s="216">
        <f>VLOOKUP("營業收入淨額",$B$40:$L$500,3,0)</f>
        <v>8448</v>
      </c>
      <c r="V3" s="217">
        <f>VLOOKUP("營業收入淨額",$B$40:$L$500,2,0)</f>
        <v>8112</v>
      </c>
      <c r="W3" s="174">
        <f>MAX(O3:V3)</f>
        <v>9101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51"/>
      <c r="G4" s="351"/>
      <c r="H4" s="351"/>
      <c r="I4" s="351"/>
      <c r="J4" s="6"/>
      <c r="K4" s="8"/>
      <c r="L4" s="8"/>
      <c r="M4" s="8"/>
      <c r="N4" s="184" t="s">
        <v>11</v>
      </c>
      <c r="O4" s="215">
        <f>VLOOKUP("營業成本",$B$40:$L$500,9,0)</f>
        <v>5667</v>
      </c>
      <c r="P4" s="216">
        <f>VLOOKUP("營業成本",$B$40:$L$500,8,0)</f>
        <v>5878</v>
      </c>
      <c r="Q4" s="216">
        <f>VLOOKUP("營業成本",$B$40:$L$500,7,0)</f>
        <v>6712</v>
      </c>
      <c r="R4" s="216">
        <f>VLOOKUP("營業成本",$B$40:$L$500,6,0)</f>
        <v>6157</v>
      </c>
      <c r="S4" s="216">
        <f>VLOOKUP("營業成本",$B$40:$L$500,5,0)</f>
        <v>5739</v>
      </c>
      <c r="T4" s="216">
        <f>VLOOKUP("營業成本",$B$40:$L$500,4,0)</f>
        <v>5569</v>
      </c>
      <c r="U4" s="216">
        <f>VLOOKUP("營業成本",$B$40:$L$500,3,0)</f>
        <v>6063</v>
      </c>
      <c r="V4" s="217">
        <f>VLOOKUP("營業成本",$B$40:$L$500,2,0)</f>
        <v>5925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938</v>
      </c>
      <c r="P5" s="216">
        <f>VLOOKUP("營業利益",$B$40:$L$500,8,0)</f>
        <v>997</v>
      </c>
      <c r="Q5" s="216">
        <f>VLOOKUP("營業利益",$B$40:$L$500,7,0)</f>
        <v>1226</v>
      </c>
      <c r="R5" s="216">
        <f>VLOOKUP("營業利益",$B$40:$L$500,6,0)</f>
        <v>1193</v>
      </c>
      <c r="S5" s="216">
        <f>VLOOKUP("營業利益",$B$40:$L$500,5,0)</f>
        <v>882</v>
      </c>
      <c r="T5" s="216">
        <f>VLOOKUP("營業利益",$B$40:$L$500,4,0)</f>
        <v>720</v>
      </c>
      <c r="U5" s="216">
        <f>VLOOKUP("營業利益",$B$40:$L$500,3,0)</f>
        <v>1176</v>
      </c>
      <c r="V5" s="217">
        <f>VLOOKUP("營業利益",$B$40:$L$500,2,0)</f>
        <v>1010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51"/>
      <c r="G6" s="351"/>
      <c r="H6" s="351"/>
      <c r="I6" s="351"/>
      <c r="J6" s="6"/>
      <c r="K6" s="8"/>
      <c r="L6" s="8"/>
      <c r="M6" s="8"/>
      <c r="N6" s="184" t="s">
        <v>12</v>
      </c>
      <c r="O6" s="215">
        <f>VLOOKUP("營業外收入合計",$B$40:$L$500,9,0)</f>
        <v>43</v>
      </c>
      <c r="P6" s="216">
        <f>VLOOKUP("營業外收入合計",$B$40:$L$500,8,0)</f>
        <v>123</v>
      </c>
      <c r="Q6" s="216">
        <f>VLOOKUP("營業外收入合計",$B$40:$L$500,7,0)</f>
        <v>13</v>
      </c>
      <c r="R6" s="216">
        <f>VLOOKUP("營業外收入合計",$B$40:$L$500,6,0)</f>
        <v>88</v>
      </c>
      <c r="S6" s="216">
        <f>VLOOKUP("營業外收入合計",$B$40:$L$500,5,0)</f>
        <v>220</v>
      </c>
      <c r="T6" s="216">
        <f>VLOOKUP("營業外收入合計",$B$40:$L$500,4,0)</f>
        <v>90</v>
      </c>
      <c r="U6" s="216">
        <f>VLOOKUP("營業外收入合計",$B$40:$L$500,3,0)</f>
        <v>71</v>
      </c>
      <c r="V6" s="217">
        <f>VLOOKUP("營業外收入合計",$B$40:$L$500,2,0)</f>
        <v>459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992</v>
      </c>
      <c r="P7" s="216">
        <f>VLOOKUP("稅前淨利",$B$40:$L$500,8,0)</f>
        <v>1078</v>
      </c>
      <c r="Q7" s="216">
        <f>VLOOKUP("稅前淨利",$B$40:$L$500,7,0)</f>
        <v>1192</v>
      </c>
      <c r="R7" s="216">
        <f>VLOOKUP("稅前淨利",$B$40:$L$500,6,0)</f>
        <v>1244</v>
      </c>
      <c r="S7" s="216">
        <f>VLOOKUP("稅前淨利",$B$40:$L$500,5,0)</f>
        <v>1063</v>
      </c>
      <c r="T7" s="216">
        <f>VLOOKUP("稅前淨利",$B$40:$L$500,4,0)</f>
        <v>693</v>
      </c>
      <c r="U7" s="216">
        <f>VLOOKUP("稅前淨利",$B$40:$L$500,3,0)</f>
        <v>1187</v>
      </c>
      <c r="V7" s="217">
        <f>VLOOKUP("稅前淨利",$B$40:$L$500,2,0)</f>
        <v>1493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51"/>
      <c r="G8" s="351"/>
      <c r="H8" s="351"/>
      <c r="I8" s="351"/>
      <c r="J8" s="6"/>
      <c r="K8" s="8"/>
      <c r="L8" s="8"/>
      <c r="M8" s="8"/>
      <c r="N8" s="184" t="s">
        <v>13</v>
      </c>
      <c r="O8" s="215">
        <f>VLOOKUP("本期稅後淨利",$B$40:$L$500,9,0)</f>
        <v>769</v>
      </c>
      <c r="P8" s="216">
        <f>VLOOKUP("本期稅後淨利",$B$40:$L$500,8,0)</f>
        <v>856</v>
      </c>
      <c r="Q8" s="216">
        <f>VLOOKUP("本期稅後淨利",$B$40:$L$500,7,0)</f>
        <v>910</v>
      </c>
      <c r="R8" s="216">
        <f>VLOOKUP("本期稅後淨利",$B$40:$L$500,6,0)</f>
        <v>936</v>
      </c>
      <c r="S8" s="216">
        <f>VLOOKUP("本期稅後淨利",$B$40:$L$500,5,0)</f>
        <v>975</v>
      </c>
      <c r="T8" s="216">
        <f>VLOOKUP("本期稅後淨利",$B$40:$L$500,4,0)</f>
        <v>568</v>
      </c>
      <c r="U8" s="216">
        <f>VLOOKUP("本期稅後淨利",$B$40:$L$500,3,0)</f>
        <v>844</v>
      </c>
      <c r="V8" s="217">
        <f>VLOOKUP("本期稅後淨利",$B$40:$L$500,2,0)</f>
        <v>1271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1.01</v>
      </c>
      <c r="P9" s="216">
        <f>VLOOKUP("每股盈餘 (元)",$B$40:$L$500,8,0)</f>
        <v>1.1200000000000001</v>
      </c>
      <c r="Q9" s="216">
        <f>VLOOKUP("每股盈餘 (元)",$B$40:$L$500,7,0)</f>
        <v>1.19</v>
      </c>
      <c r="R9" s="216">
        <f>VLOOKUP("每股盈餘 (元)",$B$40:$L$500,6,0)</f>
        <v>1.1499999999999999</v>
      </c>
      <c r="S9" s="216">
        <f>VLOOKUP("每股盈餘 (元)",$B$40:$L$500,5,0)</f>
        <v>1.19</v>
      </c>
      <c r="T9" s="216">
        <f>VLOOKUP("每股盈餘 (元)",$B$40:$L$500,4,0)</f>
        <v>0.7</v>
      </c>
      <c r="U9" s="216">
        <f>VLOOKUP("每股盈餘 (元)",$B$40:$L$500,3,0)</f>
        <v>1.03</v>
      </c>
      <c r="V9" s="217">
        <f>VLOOKUP("每股盈餘 (元)",$B$40:$L$500,2,0)</f>
        <v>1.48</v>
      </c>
      <c r="W9" s="174">
        <f>MAX(R9:V9)</f>
        <v>1.48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51"/>
      <c r="G10" s="351"/>
      <c r="H10" s="351"/>
      <c r="I10" s="351"/>
      <c r="J10" s="6"/>
      <c r="K10" s="8"/>
      <c r="L10" s="8"/>
      <c r="M10" s="8"/>
      <c r="N10" s="184" t="s">
        <v>222</v>
      </c>
      <c r="O10" s="215">
        <f>VLOOKUP(" 應收帳款及票據",$B$40:$L$500,9,0)</f>
        <v>3496</v>
      </c>
      <c r="P10" s="216">
        <f>VLOOKUP(" 應收帳款及票據",$B$40:$L$500,8,0)</f>
        <v>4048</v>
      </c>
      <c r="Q10" s="216">
        <f>VLOOKUP(" 應收帳款及票據",$B$40:$L$500,7,0)</f>
        <v>3891</v>
      </c>
      <c r="R10" s="216">
        <f>VLOOKUP(" 應收帳款及票據",$B$40:$L$500,6,0)</f>
        <v>4155</v>
      </c>
      <c r="S10" s="216">
        <f>VLOOKUP(" 應收帳款及票據",$B$40:$L$500,5,0)</f>
        <v>4131</v>
      </c>
      <c r="T10" s="216">
        <f>VLOOKUP(" 應收帳款及票據",$B$40:$L$500,4,0)</f>
        <v>3879</v>
      </c>
      <c r="U10" s="216">
        <f>VLOOKUP(" 應收帳款及票據",$B$40:$L$500,3,0)</f>
        <v>4063</v>
      </c>
      <c r="V10" s="217">
        <f>VLOOKUP(" 應收帳款及票據",$B$40:$L$500,2,0)</f>
        <v>4029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5811</v>
      </c>
      <c r="P11" s="216">
        <f>VLOOKUP(" 存貨",$B$40:$L$500,8,0)</f>
        <v>6174</v>
      </c>
      <c r="Q11" s="216">
        <f>VLOOKUP(" 存貨",$B$40:$L$500,7,0)</f>
        <v>6269</v>
      </c>
      <c r="R11" s="216">
        <f>VLOOKUP(" 存貨",$B$40:$L$500,6,0)</f>
        <v>6173</v>
      </c>
      <c r="S11" s="216">
        <f>VLOOKUP(" 存貨",$B$40:$L$500,5,0)</f>
        <v>6580</v>
      </c>
      <c r="T11" s="216">
        <f>VLOOKUP(" 存貨",$B$40:$L$500,4,0)</f>
        <v>6064</v>
      </c>
      <c r="U11" s="216">
        <f>VLOOKUP(" 存貨",$B$40:$L$500,3,0)</f>
        <v>6119</v>
      </c>
      <c r="V11" s="217">
        <f>VLOOKUP(" 存貨",$B$40:$L$500,2,0)</f>
        <v>6009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1996</v>
      </c>
      <c r="P12" s="216">
        <f>VLOOKUP(" 應付帳款及票據",$B$40:$L$500,8,0)</f>
        <v>1917</v>
      </c>
      <c r="Q12" s="216">
        <f>VLOOKUP(" 應付帳款及票據",$B$40:$L$500,7,0)</f>
        <v>1942</v>
      </c>
      <c r="R12" s="216">
        <f>VLOOKUP(" 應付帳款及票據",$B$40:$L$500,6,0)</f>
        <v>1904</v>
      </c>
      <c r="S12" s="216">
        <f>VLOOKUP(" 應付帳款及票據",$B$40:$L$500,5,0)</f>
        <v>2022</v>
      </c>
      <c r="T12" s="216">
        <f>VLOOKUP(" 應付帳款及票據",$B$40:$L$500,4,0)</f>
        <v>1771</v>
      </c>
      <c r="U12" s="216">
        <f>VLOOKUP(" 應付帳款及票據",$B$40:$L$500,3,0)</f>
        <v>1784</v>
      </c>
      <c r="V12" s="217">
        <f>VLOOKUP(" 應付帳款及票據",$B$40:$L$500,2,0)</f>
        <v>1596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15586</v>
      </c>
      <c r="P13" s="216">
        <f>VLOOKUP("負債總額",$B$40:$L$500,8,0)</f>
        <v>15753</v>
      </c>
      <c r="Q13" s="216">
        <f>VLOOKUP("負債總額",$B$40:$L$500,7,0)</f>
        <v>17281</v>
      </c>
      <c r="R13" s="216">
        <f>VLOOKUP("負債總額",$B$40:$L$500,6,0)</f>
        <v>17421</v>
      </c>
      <c r="S13" s="216">
        <f>VLOOKUP("負債總額",$B$40:$L$500,5,0)</f>
        <v>18256</v>
      </c>
      <c r="T13" s="216">
        <f>VLOOKUP("負債總額",$B$40:$L$500,4,0)</f>
        <v>17554</v>
      </c>
      <c r="U13" s="216">
        <f>VLOOKUP("負債總額",$B$40:$L$500,3,0)</f>
        <v>19117</v>
      </c>
      <c r="V13" s="217">
        <f>VLOOKUP("負債總額",$B$40:$L$500,2,0)</f>
        <v>19087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57" t="s">
        <v>1889</v>
      </c>
      <c r="G14" s="357"/>
      <c r="H14" s="357"/>
      <c r="I14" s="357"/>
      <c r="J14" s="42"/>
      <c r="K14" s="8"/>
      <c r="L14" s="8"/>
      <c r="M14" s="8"/>
      <c r="N14" s="184" t="s">
        <v>18</v>
      </c>
      <c r="O14" s="215">
        <f>VLOOKUP("資產總額",$B$40:$L$500,9,0)</f>
        <v>32399</v>
      </c>
      <c r="P14" s="216">
        <f>VLOOKUP("資產總額",$B$40:$L$500,8,0)</f>
        <v>33690</v>
      </c>
      <c r="Q14" s="216">
        <f>VLOOKUP("資產總額",$B$40:$L$500,7,0)</f>
        <v>34402</v>
      </c>
      <c r="R14" s="216">
        <f>VLOOKUP("資產總額",$B$40:$L$500,6,0)</f>
        <v>35817</v>
      </c>
      <c r="S14" s="216">
        <f>VLOOKUP("資產總額",$B$40:$L$500,5,0)</f>
        <v>38429</v>
      </c>
      <c r="T14" s="216">
        <f>VLOOKUP("資產總額",$B$40:$L$500,4,0)</f>
        <v>37985</v>
      </c>
      <c r="U14" s="216">
        <f>VLOOKUP("資產總額",$B$40:$L$500,3,0)</f>
        <v>38321</v>
      </c>
      <c r="V14" s="217">
        <f>VLOOKUP("資產總額",$B$40:$L$500,2,0)</f>
        <v>40322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689</v>
      </c>
      <c r="P15" s="216">
        <f>VLOOKUP("來自營運之現金流量",$B$40:$L$500,8,0)</f>
        <v>374</v>
      </c>
      <c r="Q15" s="216">
        <f>VLOOKUP("來自營運之現金流量",$B$40:$L$500,7,0)</f>
        <v>1302</v>
      </c>
      <c r="R15" s="216">
        <f>VLOOKUP("來自營運之現金流量",$B$40:$L$500,6,0)</f>
        <v>1286</v>
      </c>
      <c r="S15" s="216">
        <f>VLOOKUP("來自營運之現金流量",$B$40:$L$500,5,0)</f>
        <v>1197</v>
      </c>
      <c r="T15" s="216">
        <f>VLOOKUP("來自營運之現金流量",$B$40:$L$500,4,0)</f>
        <v>1223</v>
      </c>
      <c r="U15" s="216">
        <f>VLOOKUP("來自營運之現金流量",$B$40:$L$500,3,0)</f>
        <v>798</v>
      </c>
      <c r="V15" s="217">
        <f>VLOOKUP("來自營運之現金流量",$B$40:$L$500,2,0)</f>
        <v>1995</v>
      </c>
      <c r="W15" s="176">
        <f>AVERAGE(R15:V15)</f>
        <v>1299.8</v>
      </c>
      <c r="X15" s="176">
        <f>AVERAGE(U15:V15)</f>
        <v>1396.5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51"/>
      <c r="G16" s="351"/>
      <c r="H16" s="351"/>
      <c r="I16" s="351"/>
      <c r="J16" s="6"/>
      <c r="K16" s="8"/>
      <c r="L16" s="8"/>
      <c r="M16" s="8"/>
      <c r="N16" s="184" t="s">
        <v>20</v>
      </c>
      <c r="O16" s="215">
        <v>249</v>
      </c>
      <c r="P16" s="216">
        <v>391</v>
      </c>
      <c r="Q16" s="216">
        <v>424</v>
      </c>
      <c r="R16" s="216">
        <v>269</v>
      </c>
      <c r="S16" s="216">
        <v>271</v>
      </c>
      <c r="T16" s="216">
        <v>306</v>
      </c>
      <c r="U16" s="216">
        <v>240</v>
      </c>
      <c r="V16" s="217">
        <v>298</v>
      </c>
      <c r="W16" s="176">
        <f>MAX(O16:V16)</f>
        <v>424</v>
      </c>
      <c r="X16" s="176">
        <f>AVERAGE(U16:V16)</f>
        <v>269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592</v>
      </c>
      <c r="P17" s="216">
        <v>0</v>
      </c>
      <c r="Q17" s="216">
        <v>0</v>
      </c>
      <c r="R17" s="216">
        <v>0</v>
      </c>
      <c r="S17" s="216">
        <v>0</v>
      </c>
      <c r="T17" s="216">
        <v>0</v>
      </c>
      <c r="U17" s="216">
        <v>0</v>
      </c>
      <c r="V17" s="217">
        <v>0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51"/>
      <c r="G18" s="351"/>
      <c r="H18" s="351"/>
      <c r="I18" s="351"/>
      <c r="J18" s="6"/>
      <c r="K18" s="8"/>
      <c r="L18" s="8"/>
      <c r="M18" s="8"/>
      <c r="N18" s="184" t="s">
        <v>22</v>
      </c>
      <c r="O18" s="215">
        <f>VLOOKUP(" 折舊",$B$40:$L$500,9,0)</f>
        <v>271</v>
      </c>
      <c r="P18" s="216">
        <f>VLOOKUP(" 折舊",$B$40:$L$500,8,0)</f>
        <v>275</v>
      </c>
      <c r="Q18" s="216">
        <f>VLOOKUP(" 折舊",$B$40:$L$500,7,0)</f>
        <v>276</v>
      </c>
      <c r="R18" s="216">
        <f>VLOOKUP(" 折舊",$B$40:$L$500,6,0)</f>
        <v>266</v>
      </c>
      <c r="S18" s="216">
        <f>VLOOKUP(" 折舊",$B$40:$L$500,5,0)</f>
        <v>275</v>
      </c>
      <c r="T18" s="216">
        <f>VLOOKUP(" 折舊",$B$40:$L$500,4,0)</f>
        <v>284</v>
      </c>
      <c r="U18" s="216">
        <f>VLOOKUP(" 折舊",$B$40:$L$500,3,0)</f>
        <v>278</v>
      </c>
      <c r="V18" s="217">
        <f>VLOOKUP(" 折舊",$B$40:$L$500,2,0)</f>
        <v>274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8</v>
      </c>
      <c r="P19" s="219">
        <f>VLOOKUP(" 攤提",$B$40:$L$500,8,0)</f>
        <v>13</v>
      </c>
      <c r="Q19" s="219">
        <f>VLOOKUP(" 攤提",$B$40:$L$500,7,0)</f>
        <v>13</v>
      </c>
      <c r="R19" s="219">
        <f>VLOOKUP(" 攤提",$B$40:$L$500,6,0)</f>
        <v>8</v>
      </c>
      <c r="S19" s="219">
        <f>VLOOKUP(" 攤提",$B$40:$L$500,5,0)</f>
        <v>7</v>
      </c>
      <c r="T19" s="219">
        <f>VLOOKUP(" 攤提",$B$40:$L$500,4,0)</f>
        <v>8</v>
      </c>
      <c r="U19" s="219">
        <f>VLOOKUP(" 攤提",$B$40:$L$500,3,0)</f>
        <v>7</v>
      </c>
      <c r="V19" s="220">
        <f>VLOOKUP(" 攤提",$B$40:$L$500,2,0)</f>
        <v>8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51"/>
      <c r="G20" s="351"/>
      <c r="H20" s="351"/>
      <c r="I20" s="351"/>
      <c r="J20" s="6"/>
      <c r="K20" s="8"/>
      <c r="L20" s="8"/>
      <c r="M20" s="8"/>
      <c r="N20" s="184" t="s">
        <v>24</v>
      </c>
      <c r="O20" s="221">
        <f>VLOOKUP("股東權益總額",$B$40:$L$500,9,0)</f>
        <v>16813</v>
      </c>
      <c r="P20" s="222">
        <f>VLOOKUP("股東權益總額",$B$40:$L$500,8,0)</f>
        <v>17937</v>
      </c>
      <c r="Q20" s="222">
        <f>VLOOKUP("股東權益總額",$B$40:$L$500,7,0)</f>
        <v>17121</v>
      </c>
      <c r="R20" s="222">
        <f>VLOOKUP("股東權益總額",$B$40:$L$500,6,0)</f>
        <v>18396</v>
      </c>
      <c r="S20" s="222">
        <f>VLOOKUP("股東權益總額",$B$40:$L$500,5,0)</f>
        <v>20173</v>
      </c>
      <c r="T20" s="222">
        <f>VLOOKUP("股東權益總額",$B$40:$L$500,4,0)</f>
        <v>20432</v>
      </c>
      <c r="U20" s="222">
        <f>VLOOKUP("股東權益總額",$B$40:$L$500,3,0)</f>
        <v>19203</v>
      </c>
      <c r="V20" s="223">
        <f>VLOOKUP("股東權益總額",$B$40:$L$500,2,0)</f>
        <v>21235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7630</v>
      </c>
      <c r="P21" s="225">
        <f>VLOOKUP(" 普通股股本",$B$40:$L$500,8,0)</f>
        <v>7630</v>
      </c>
      <c r="Q21" s="225">
        <f>VLOOKUP(" 普通股股本",$B$40:$L$500,7,0)</f>
        <v>7630</v>
      </c>
      <c r="R21" s="225">
        <f>VLOOKUP(" 普通股股本",$B$40:$L$500,6,0)</f>
        <v>8165</v>
      </c>
      <c r="S21" s="225">
        <f>VLOOKUP(" 普通股股本",$B$40:$L$500,5,0)</f>
        <v>8165</v>
      </c>
      <c r="T21" s="225">
        <f>VLOOKUP(" 普通股股本",$B$40:$L$500,4,0)</f>
        <v>8165</v>
      </c>
      <c r="U21" s="225">
        <f>VLOOKUP(" 普通股股本",$B$40:$L$500,3,0)</f>
        <v>8165</v>
      </c>
      <c r="V21" s="226">
        <f>VLOOKUP(" 普通股股本",$B$40:$L$500,2,0)</f>
        <v>8573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51"/>
      <c r="G22" s="351"/>
      <c r="H22" s="351"/>
      <c r="I22" s="351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0.26066536203522506</v>
      </c>
      <c r="P22" s="228">
        <f t="shared" si="0"/>
        <v>0.25613768666160464</v>
      </c>
      <c r="Q22" s="228">
        <f t="shared" si="0"/>
        <v>0.26249862652455774</v>
      </c>
      <c r="R22" s="228">
        <f t="shared" si="0"/>
        <v>0.26824340385072498</v>
      </c>
      <c r="S22" s="228">
        <f t="shared" si="0"/>
        <v>0.27123809523809522</v>
      </c>
      <c r="T22" s="228">
        <f t="shared" si="0"/>
        <v>0.25077357729046146</v>
      </c>
      <c r="U22" s="228">
        <f t="shared" si="0"/>
        <v>0.28231534090909088</v>
      </c>
      <c r="V22" s="229">
        <f t="shared" si="0"/>
        <v>0.26960059171597633</v>
      </c>
      <c r="W22" s="364">
        <f>MIN(O22:V23)</f>
        <v>7.6415982779496835E-2</v>
      </c>
      <c r="X22" s="364">
        <f>MAX(O22:V23)</f>
        <v>0.28231534090909088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>
        <f>O8/O3</f>
        <v>0.10032615786040444</v>
      </c>
      <c r="P23" s="228">
        <f t="shared" ref="P23:V23" si="1">P8/P3</f>
        <v>0.10832700582131106</v>
      </c>
      <c r="Q23" s="228">
        <f t="shared" si="1"/>
        <v>9.9989012196461932E-2</v>
      </c>
      <c r="R23" s="228">
        <f t="shared" si="1"/>
        <v>0.11124316615165201</v>
      </c>
      <c r="S23" s="228">
        <f t="shared" si="1"/>
        <v>0.12380952380952381</v>
      </c>
      <c r="T23" s="228">
        <f t="shared" si="1"/>
        <v>7.6415982779496835E-2</v>
      </c>
      <c r="U23" s="228">
        <f t="shared" si="1"/>
        <v>9.9905303030303025E-2</v>
      </c>
      <c r="V23" s="229">
        <f t="shared" si="1"/>
        <v>0.15668145956607496</v>
      </c>
      <c r="W23" s="364"/>
      <c r="X23" s="364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0.48106423037748081</v>
      </c>
      <c r="P24" s="228">
        <f t="shared" si="2"/>
        <v>0.46758682101513804</v>
      </c>
      <c r="Q24" s="228">
        <f t="shared" si="2"/>
        <v>0.50232544619498865</v>
      </c>
      <c r="R24" s="228">
        <f t="shared" si="2"/>
        <v>0.48638914481949913</v>
      </c>
      <c r="S24" s="228">
        <f t="shared" si="2"/>
        <v>0.47505789898253925</v>
      </c>
      <c r="T24" s="228">
        <f t="shared" si="2"/>
        <v>0.46212978807423982</v>
      </c>
      <c r="U24" s="228">
        <f t="shared" si="2"/>
        <v>0.49886485216982857</v>
      </c>
      <c r="V24" s="229">
        <f t="shared" si="2"/>
        <v>0.47336441644759686</v>
      </c>
      <c r="W24" s="177">
        <f>MIN(O24:V24)</f>
        <v>0.46212978807423982</v>
      </c>
      <c r="X24" s="177">
        <f>MAX(O24:V24)</f>
        <v>0.50232544619498865</v>
      </c>
      <c r="Y24" s="174"/>
      <c r="Z24" s="8"/>
      <c r="AA24" s="127"/>
      <c r="AB24" s="7"/>
      <c r="AC24" s="8"/>
      <c r="AD24" s="9"/>
    </row>
    <row r="25" spans="1:30" ht="5.0999999999999996" customHeight="1">
      <c r="A25" s="360"/>
      <c r="B25" s="361"/>
      <c r="C25" s="361"/>
      <c r="D25" s="361"/>
      <c r="E25" s="361"/>
      <c r="F25" s="361"/>
      <c r="G25" s="361"/>
      <c r="H25" s="361"/>
      <c r="I25" s="361"/>
      <c r="J25" s="362"/>
      <c r="K25" s="8"/>
      <c r="L25" s="8"/>
      <c r="M25" s="8"/>
      <c r="N25" s="184" t="s">
        <v>27</v>
      </c>
      <c r="O25" s="230">
        <f>P25</f>
        <v>30.372682034705679</v>
      </c>
      <c r="P25" s="231">
        <f t="shared" ref="P25:V25" si="3">IF(ISNUMBER(365/(P4*4/((O12+P12)/2))),365/(P4*4/((O12+P12)/2)),0)</f>
        <v>30.372682034705679</v>
      </c>
      <c r="Q25" s="231">
        <f t="shared" si="3"/>
        <v>26.231655989272944</v>
      </c>
      <c r="R25" s="231">
        <f t="shared" si="3"/>
        <v>28.499878187428944</v>
      </c>
      <c r="S25" s="231">
        <f t="shared" si="3"/>
        <v>31.211665795434744</v>
      </c>
      <c r="T25" s="231">
        <f t="shared" si="3"/>
        <v>31.07481145627581</v>
      </c>
      <c r="U25" s="231">
        <f t="shared" si="3"/>
        <v>26.751917367639784</v>
      </c>
      <c r="V25" s="232">
        <f t="shared" si="3"/>
        <v>26.027426160337555</v>
      </c>
      <c r="W25" s="178">
        <f>MIN(O25:V27)</f>
        <v>26.027426160337555</v>
      </c>
      <c r="X25" s="179">
        <f>MAX(O25:V27)</f>
        <v>103.58816663673909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57" t="s">
        <v>1881</v>
      </c>
      <c r="G26" s="357"/>
      <c r="H26" s="357"/>
      <c r="I26" s="357"/>
      <c r="J26" s="124"/>
      <c r="K26" s="8"/>
      <c r="L26" s="8"/>
      <c r="M26" s="8"/>
      <c r="N26" s="184" t="s">
        <v>28</v>
      </c>
      <c r="O26" s="233">
        <f>P26</f>
        <v>43.557960010124013</v>
      </c>
      <c r="P26" s="234">
        <f t="shared" ref="P26:V27" si="4">IF(ISNUMBER(365/(P3*4/((O10+P10)/2))),365/(P3*4/((O10+P10)/2)),0)</f>
        <v>43.557960010124013</v>
      </c>
      <c r="Q26" s="234">
        <f t="shared" si="4"/>
        <v>39.799678606746511</v>
      </c>
      <c r="R26" s="234">
        <f t="shared" si="4"/>
        <v>43.629516282386497</v>
      </c>
      <c r="S26" s="234">
        <f t="shared" si="4"/>
        <v>48.006190476190476</v>
      </c>
      <c r="T26" s="234">
        <f t="shared" si="4"/>
        <v>49.166722722992063</v>
      </c>
      <c r="U26" s="234">
        <f t="shared" si="4"/>
        <v>42.892252604166664</v>
      </c>
      <c r="V26" s="235">
        <f t="shared" si="4"/>
        <v>45.512512327416168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93.027496597482127</v>
      </c>
      <c r="P27" s="231">
        <f t="shared" si="4"/>
        <v>93.027496597482127</v>
      </c>
      <c r="Q27" s="231">
        <f t="shared" si="4"/>
        <v>84.581626191895111</v>
      </c>
      <c r="R27" s="231">
        <f t="shared" si="4"/>
        <v>92.198513886633094</v>
      </c>
      <c r="S27" s="231">
        <f t="shared" si="4"/>
        <v>101.386238891793</v>
      </c>
      <c r="T27" s="231">
        <f t="shared" si="4"/>
        <v>103.58816663673909</v>
      </c>
      <c r="U27" s="231">
        <f t="shared" si="4"/>
        <v>91.678933696190001</v>
      </c>
      <c r="V27" s="232">
        <f t="shared" si="4"/>
        <v>93.390717299578057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51"/>
      <c r="G28" s="351"/>
      <c r="H28" s="351"/>
      <c r="I28" s="351"/>
      <c r="J28" s="6"/>
      <c r="K28" s="8"/>
      <c r="L28" s="8"/>
      <c r="M28" s="8"/>
      <c r="N28" s="184" t="s">
        <v>30</v>
      </c>
      <c r="O28" s="236">
        <f>O26+O27</f>
        <v>136.58545660760615</v>
      </c>
      <c r="P28" s="237">
        <f t="shared" ref="P28:V28" si="5">P26+P27</f>
        <v>136.58545660760615</v>
      </c>
      <c r="Q28" s="237">
        <f t="shared" si="5"/>
        <v>124.38130479864162</v>
      </c>
      <c r="R28" s="237">
        <f t="shared" si="5"/>
        <v>135.8280301690196</v>
      </c>
      <c r="S28" s="237">
        <f t="shared" si="5"/>
        <v>149.39242936798348</v>
      </c>
      <c r="T28" s="237">
        <f t="shared" si="5"/>
        <v>152.75488935973115</v>
      </c>
      <c r="U28" s="237">
        <f t="shared" si="5"/>
        <v>134.57118630035666</v>
      </c>
      <c r="V28" s="238">
        <f t="shared" si="5"/>
        <v>138.90322962699423</v>
      </c>
      <c r="W28" s="180">
        <f>MIN(O28:V28)</f>
        <v>124.38130479864162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279</v>
      </c>
      <c r="P29" s="216">
        <f t="shared" ref="P29:V29" si="6">P18+P19</f>
        <v>288</v>
      </c>
      <c r="Q29" s="216">
        <f t="shared" si="6"/>
        <v>289</v>
      </c>
      <c r="R29" s="216">
        <f t="shared" si="6"/>
        <v>274</v>
      </c>
      <c r="S29" s="216">
        <f t="shared" si="6"/>
        <v>282</v>
      </c>
      <c r="T29" s="216">
        <f t="shared" si="6"/>
        <v>292</v>
      </c>
      <c r="U29" s="216">
        <f t="shared" si="6"/>
        <v>285</v>
      </c>
      <c r="V29" s="217">
        <f t="shared" si="6"/>
        <v>282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51"/>
      <c r="G30" s="351"/>
      <c r="H30" s="351"/>
      <c r="I30" s="351"/>
      <c r="J30" s="6"/>
      <c r="K30" s="8"/>
      <c r="L30" s="8"/>
      <c r="M30" s="8"/>
      <c r="N30" s="184" t="s">
        <v>32</v>
      </c>
      <c r="O30" s="227">
        <f>P30</f>
        <v>3.8343762481693515E-2</v>
      </c>
      <c r="P30" s="228">
        <f t="shared" ref="P30:V30" si="7">P29/(IF(P3-O3&gt;0,P3,O4)-P16)</f>
        <v>3.8343762481693515E-2</v>
      </c>
      <c r="Q30" s="228">
        <f t="shared" si="7"/>
        <v>3.330644231877377E-2</v>
      </c>
      <c r="R30" s="228">
        <f t="shared" si="7"/>
        <v>4.2526773242278444E-2</v>
      </c>
      <c r="S30" s="228">
        <f t="shared" si="7"/>
        <v>4.7910295616717634E-2</v>
      </c>
      <c r="T30" s="228">
        <f t="shared" si="7"/>
        <v>5.3745628566169705E-2</v>
      </c>
      <c r="U30" s="228">
        <f t="shared" si="7"/>
        <v>3.4722222222222224E-2</v>
      </c>
      <c r="V30" s="229">
        <f t="shared" si="7"/>
        <v>4.891587163920208E-2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>
        <f t="shared" ref="O31:V31" si="8">O29/O4</f>
        <v>4.9232398094229753E-2</v>
      </c>
      <c r="P31" s="240">
        <f t="shared" si="8"/>
        <v>4.8996257230350462E-2</v>
      </c>
      <c r="Q31" s="240">
        <f t="shared" si="8"/>
        <v>4.3057210965435043E-2</v>
      </c>
      <c r="R31" s="240">
        <f t="shared" si="8"/>
        <v>4.4502192626279032E-2</v>
      </c>
      <c r="S31" s="240">
        <f>S29/S4</f>
        <v>4.9137480397281753E-2</v>
      </c>
      <c r="T31" s="240">
        <f t="shared" si="8"/>
        <v>5.243311186927635E-2</v>
      </c>
      <c r="U31" s="240">
        <f t="shared" si="8"/>
        <v>4.7006432459178626E-2</v>
      </c>
      <c r="V31" s="241">
        <f t="shared" si="8"/>
        <v>4.7594936708860759E-2</v>
      </c>
      <c r="W31" s="359">
        <f>AVERAGE(O32:V32)</f>
        <v>0.96939904861360315</v>
      </c>
      <c r="X31" s="359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51"/>
      <c r="G32" s="351"/>
      <c r="H32" s="351"/>
      <c r="I32" s="351"/>
      <c r="J32" s="6"/>
      <c r="K32" s="8"/>
      <c r="L32" s="8"/>
      <c r="M32" s="8"/>
      <c r="N32" s="358" t="s">
        <v>33</v>
      </c>
      <c r="O32" s="242">
        <f t="shared" ref="O32:V32" si="9">IF(O8&gt;0,IF(O15&gt;O8,IF(ISNUMBER(O15/O8),O15/O8,0),0),0)</f>
        <v>0</v>
      </c>
      <c r="P32" s="243">
        <f t="shared" si="9"/>
        <v>0</v>
      </c>
      <c r="Q32" s="243">
        <f t="shared" si="9"/>
        <v>1.4307692307692308</v>
      </c>
      <c r="R32" s="243">
        <f t="shared" si="9"/>
        <v>1.3739316239316239</v>
      </c>
      <c r="S32" s="243">
        <f t="shared" si="9"/>
        <v>1.2276923076923076</v>
      </c>
      <c r="T32" s="243">
        <f t="shared" si="9"/>
        <v>2.153169014084507</v>
      </c>
      <c r="U32" s="243">
        <f t="shared" si="9"/>
        <v>0</v>
      </c>
      <c r="V32" s="244">
        <f t="shared" si="9"/>
        <v>1.5696302124311565</v>
      </c>
      <c r="W32" s="359"/>
      <c r="X32" s="359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58"/>
      <c r="O33" s="242">
        <f>$W$31</f>
        <v>0.96939904861360315</v>
      </c>
      <c r="P33" s="243">
        <f t="shared" ref="P33:V33" si="10">$W$31</f>
        <v>0.96939904861360315</v>
      </c>
      <c r="Q33" s="243">
        <f t="shared" si="10"/>
        <v>0.96939904861360315</v>
      </c>
      <c r="R33" s="243">
        <f t="shared" si="10"/>
        <v>0.96939904861360315</v>
      </c>
      <c r="S33" s="243">
        <f t="shared" si="10"/>
        <v>0.96939904861360315</v>
      </c>
      <c r="T33" s="243">
        <f t="shared" si="10"/>
        <v>0.96939904861360315</v>
      </c>
      <c r="U33" s="243">
        <f t="shared" si="10"/>
        <v>0.96939904861360315</v>
      </c>
      <c r="V33" s="244">
        <f t="shared" si="10"/>
        <v>0.96939904861360315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51"/>
      <c r="G34" s="351"/>
      <c r="H34" s="351"/>
      <c r="I34" s="351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938</v>
      </c>
      <c r="P34" s="246">
        <f t="shared" si="11"/>
        <v>997</v>
      </c>
      <c r="Q34" s="246">
        <f t="shared" si="11"/>
        <v>1226</v>
      </c>
      <c r="R34" s="246">
        <f t="shared" si="11"/>
        <v>1193</v>
      </c>
      <c r="S34" s="246">
        <f t="shared" si="11"/>
        <v>882</v>
      </c>
      <c r="T34" s="246">
        <f t="shared" si="11"/>
        <v>720</v>
      </c>
      <c r="U34" s="246">
        <f t="shared" si="11"/>
        <v>1176</v>
      </c>
      <c r="V34" s="247">
        <f t="shared" si="11"/>
        <v>1010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>
        <f t="shared" ref="O35:U35" si="12">O34/O7</f>
        <v>0.94556451612903225</v>
      </c>
      <c r="P35" s="228">
        <f t="shared" si="12"/>
        <v>0.92486085343228197</v>
      </c>
      <c r="Q35" s="228">
        <f t="shared" si="12"/>
        <v>1.0285234899328859</v>
      </c>
      <c r="R35" s="228">
        <f t="shared" si="12"/>
        <v>0.95900321543408362</v>
      </c>
      <c r="S35" s="228">
        <f t="shared" si="12"/>
        <v>0.82972718720602068</v>
      </c>
      <c r="T35" s="228">
        <f t="shared" si="12"/>
        <v>1.0389610389610389</v>
      </c>
      <c r="U35" s="228">
        <f t="shared" si="12"/>
        <v>0.99073294018534119</v>
      </c>
      <c r="V35" s="229">
        <f>IF(ISNUMBER(V6),V34/V7,1)</f>
        <v>0.67649028801071664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0.10408439912771851</v>
      </c>
      <c r="Q36" s="249">
        <f>(Q8+P8)*2/(O20+Q20)</f>
        <v>0.10408439912771851</v>
      </c>
      <c r="R36" s="249">
        <f>((R8+Q8+P8)/3)*4/(O20+R20)</f>
        <v>0.10232232289092751</v>
      </c>
      <c r="S36" s="249">
        <f>(S8+R8+Q8+P8)/(O20+S20)</f>
        <v>9.9415995241442706E-2</v>
      </c>
      <c r="T36" s="249">
        <f>(T8+S8+R8+Q8)/(P20+T20)</f>
        <v>8.8326513591701628E-2</v>
      </c>
      <c r="U36" s="249">
        <f>(U8+T8+S8+R8)/(Q20+U20)</f>
        <v>9.1482215615020374E-2</v>
      </c>
      <c r="V36" s="250">
        <f>(V8+U8+T8+S8)/(R20+V20)</f>
        <v>9.230148116373546E-2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440</v>
      </c>
      <c r="P37" s="125">
        <f>P15-P16</f>
        <v>-17</v>
      </c>
      <c r="Q37" s="125">
        <f t="shared" ref="Q37:V37" si="13">Q15-Q16</f>
        <v>878</v>
      </c>
      <c r="R37" s="125">
        <f t="shared" si="13"/>
        <v>1017</v>
      </c>
      <c r="S37" s="125">
        <f t="shared" si="13"/>
        <v>926</v>
      </c>
      <c r="T37" s="125">
        <f t="shared" si="13"/>
        <v>917</v>
      </c>
      <c r="U37" s="125">
        <f t="shared" si="13"/>
        <v>558</v>
      </c>
      <c r="V37" s="125">
        <f t="shared" si="13"/>
        <v>1697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2058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7"/>
    </row>
    <row r="41" spans="1:31" s="3" customFormat="1">
      <c r="B41" s="3" t="s">
        <v>10</v>
      </c>
      <c r="C41" s="14">
        <v>8112</v>
      </c>
      <c r="D41" s="14">
        <v>8448</v>
      </c>
      <c r="E41" s="14">
        <v>7433</v>
      </c>
      <c r="F41" s="14">
        <v>7875</v>
      </c>
      <c r="G41" s="14">
        <v>8414</v>
      </c>
      <c r="H41" s="14">
        <v>9101</v>
      </c>
      <c r="I41" s="14">
        <v>7902</v>
      </c>
      <c r="J41" s="14">
        <v>7665</v>
      </c>
      <c r="AA41" s="127"/>
    </row>
    <row r="42" spans="1:31" s="3" customFormat="1">
      <c r="B42" s="3" t="s">
        <v>11</v>
      </c>
      <c r="C42" s="14">
        <v>5925</v>
      </c>
      <c r="D42" s="14">
        <v>6063</v>
      </c>
      <c r="E42" s="14">
        <v>5569</v>
      </c>
      <c r="F42" s="14">
        <v>5739</v>
      </c>
      <c r="G42" s="14">
        <v>6157</v>
      </c>
      <c r="H42" s="14">
        <v>6712</v>
      </c>
      <c r="I42" s="14">
        <v>5878</v>
      </c>
      <c r="J42" s="14">
        <v>5667</v>
      </c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2187</v>
      </c>
      <c r="D43" s="14">
        <v>2385</v>
      </c>
      <c r="E43" s="14">
        <v>1864</v>
      </c>
      <c r="F43" s="14">
        <v>2136</v>
      </c>
      <c r="G43" s="14">
        <v>2257</v>
      </c>
      <c r="H43" s="14">
        <v>2389</v>
      </c>
      <c r="I43" s="14">
        <v>2024</v>
      </c>
      <c r="J43" s="14">
        <v>1998</v>
      </c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7"/>
    </row>
    <row r="45" spans="1:31" s="3" customFormat="1">
      <c r="B45" s="3" t="s">
        <v>57</v>
      </c>
      <c r="C45" s="14">
        <v>2187</v>
      </c>
      <c r="D45" s="14">
        <v>2385</v>
      </c>
      <c r="E45" s="14">
        <v>1864</v>
      </c>
      <c r="F45" s="14">
        <v>2136</v>
      </c>
      <c r="G45" s="14">
        <v>2257</v>
      </c>
      <c r="H45" s="14">
        <v>2389</v>
      </c>
      <c r="I45" s="14">
        <v>2024</v>
      </c>
      <c r="J45" s="14">
        <v>1998</v>
      </c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1177</v>
      </c>
      <c r="D46" s="14">
        <v>1209</v>
      </c>
      <c r="E46" s="14">
        <v>1144</v>
      </c>
      <c r="F46" s="14">
        <v>1254</v>
      </c>
      <c r="G46" s="14">
        <v>1064</v>
      </c>
      <c r="H46" s="14">
        <v>1163</v>
      </c>
      <c r="I46" s="14">
        <v>1027</v>
      </c>
      <c r="J46" s="14">
        <v>1060</v>
      </c>
      <c r="N46" s="126"/>
      <c r="AA46" s="127"/>
    </row>
    <row r="47" spans="1:31" s="3" customFormat="1">
      <c r="B47" s="3" t="s">
        <v>59</v>
      </c>
      <c r="C47" s="14">
        <v>687</v>
      </c>
      <c r="D47" s="14">
        <v>699</v>
      </c>
      <c r="E47" s="14">
        <v>664</v>
      </c>
      <c r="F47" s="14">
        <v>714</v>
      </c>
      <c r="G47" s="14">
        <v>730</v>
      </c>
      <c r="H47" s="14">
        <v>749</v>
      </c>
      <c r="I47" s="14">
        <v>666</v>
      </c>
      <c r="J47" s="14">
        <v>627</v>
      </c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225</v>
      </c>
      <c r="D48" s="14">
        <v>249</v>
      </c>
      <c r="E48" s="14">
        <v>235</v>
      </c>
      <c r="F48" s="14">
        <v>256</v>
      </c>
      <c r="G48" s="14">
        <v>192</v>
      </c>
      <c r="H48" s="14">
        <v>267</v>
      </c>
      <c r="I48" s="14">
        <v>231</v>
      </c>
      <c r="J48" s="14">
        <v>277</v>
      </c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264</v>
      </c>
      <c r="D49" s="14">
        <v>262</v>
      </c>
      <c r="E49" s="14">
        <v>244</v>
      </c>
      <c r="F49" s="14">
        <v>284</v>
      </c>
      <c r="G49" s="14">
        <v>142</v>
      </c>
      <c r="H49" s="14">
        <v>146</v>
      </c>
      <c r="I49" s="14">
        <v>130</v>
      </c>
      <c r="J49" s="14">
        <v>156</v>
      </c>
      <c r="N49" s="116" t="s">
        <v>1959</v>
      </c>
      <c r="O49" s="352" t="s">
        <v>1961</v>
      </c>
      <c r="P49" s="352" t="s">
        <v>1962</v>
      </c>
      <c r="Q49" s="354" t="s">
        <v>1963</v>
      </c>
      <c r="R49" s="352" t="s">
        <v>1964</v>
      </c>
      <c r="S49" s="329" t="s">
        <v>1965</v>
      </c>
      <c r="T49" s="349" t="s">
        <v>1966</v>
      </c>
      <c r="U49" s="329" t="s">
        <v>1967</v>
      </c>
      <c r="V49" s="329" t="s">
        <v>1968</v>
      </c>
      <c r="W49" s="329" t="s">
        <v>1969</v>
      </c>
      <c r="X49" s="329" t="s">
        <v>1970</v>
      </c>
      <c r="Y49" s="329" t="s">
        <v>1971</v>
      </c>
      <c r="AA49" s="127"/>
    </row>
    <row r="50" spans="2:27" s="3" customFormat="1" ht="17.25" thickBot="1">
      <c r="B50" s="3" t="s">
        <v>62</v>
      </c>
      <c r="C50" s="14">
        <v>1010</v>
      </c>
      <c r="D50" s="14">
        <v>1176</v>
      </c>
      <c r="E50" s="14">
        <v>720</v>
      </c>
      <c r="F50" s="14">
        <v>882</v>
      </c>
      <c r="G50" s="14">
        <v>1193</v>
      </c>
      <c r="H50" s="14">
        <v>1226</v>
      </c>
      <c r="I50" s="14">
        <v>997</v>
      </c>
      <c r="J50" s="14">
        <v>938</v>
      </c>
      <c r="N50" s="117" t="s">
        <v>1960</v>
      </c>
      <c r="O50" s="353"/>
      <c r="P50" s="353"/>
      <c r="Q50" s="355"/>
      <c r="R50" s="353"/>
      <c r="S50" s="330"/>
      <c r="T50" s="350"/>
      <c r="U50" s="330"/>
      <c r="V50" s="330"/>
      <c r="W50" s="330"/>
      <c r="X50" s="330"/>
      <c r="Y50" s="330"/>
      <c r="AA50" s="127"/>
    </row>
    <row r="51" spans="2:27" s="3" customFormat="1">
      <c r="B51" s="3" t="s">
        <v>63</v>
      </c>
      <c r="C51" s="14">
        <v>63</v>
      </c>
      <c r="D51" s="14">
        <v>37</v>
      </c>
      <c r="E51" s="14">
        <v>33</v>
      </c>
      <c r="F51" s="14">
        <v>33</v>
      </c>
      <c r="G51" s="14">
        <v>33</v>
      </c>
      <c r="H51" s="14">
        <v>35</v>
      </c>
      <c r="I51" s="14">
        <v>32</v>
      </c>
      <c r="J51" s="14">
        <v>22</v>
      </c>
      <c r="N51" s="129" t="s">
        <v>2060</v>
      </c>
      <c r="O51" s="331">
        <v>0.60416666666666663</v>
      </c>
      <c r="P51" s="334">
        <v>47.7</v>
      </c>
      <c r="Q51" s="337">
        <v>47.6</v>
      </c>
      <c r="R51" s="340">
        <v>47.7</v>
      </c>
      <c r="S51" s="387" t="s">
        <v>2061</v>
      </c>
      <c r="T51" s="343">
        <v>413</v>
      </c>
      <c r="U51" s="346">
        <v>47.25</v>
      </c>
      <c r="V51" s="346">
        <v>47.25</v>
      </c>
      <c r="W51" s="346">
        <v>47.8</v>
      </c>
      <c r="X51" s="346">
        <v>47.15</v>
      </c>
      <c r="Y51" s="130" t="s">
        <v>1973</v>
      </c>
      <c r="AA51" s="127"/>
    </row>
    <row r="52" spans="2:27" s="3" customFormat="1">
      <c r="B52" s="3" t="s">
        <v>64</v>
      </c>
      <c r="C52" s="14">
        <v>152</v>
      </c>
      <c r="D52" s="14">
        <v>0</v>
      </c>
      <c r="E52" s="14">
        <v>0</v>
      </c>
      <c r="F52" s="14">
        <v>0</v>
      </c>
      <c r="G52" s="14">
        <v>29</v>
      </c>
      <c r="H52" s="14">
        <v>0</v>
      </c>
      <c r="I52" s="14">
        <v>0</v>
      </c>
      <c r="J52" s="14">
        <v>29</v>
      </c>
      <c r="N52" s="131" t="s">
        <v>1972</v>
      </c>
      <c r="O52" s="332"/>
      <c r="P52" s="335"/>
      <c r="Q52" s="338"/>
      <c r="R52" s="341"/>
      <c r="S52" s="388"/>
      <c r="T52" s="344"/>
      <c r="U52" s="347"/>
      <c r="V52" s="347"/>
      <c r="W52" s="347"/>
      <c r="X52" s="347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3"/>
      <c r="O53" s="332"/>
      <c r="P53" s="335"/>
      <c r="Q53" s="338"/>
      <c r="R53" s="341"/>
      <c r="S53" s="388"/>
      <c r="T53" s="344"/>
      <c r="U53" s="347"/>
      <c r="V53" s="347"/>
      <c r="W53" s="347"/>
      <c r="X53" s="347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34"/>
      <c r="O54" s="333"/>
      <c r="P54" s="336"/>
      <c r="Q54" s="339"/>
      <c r="R54" s="342"/>
      <c r="S54" s="389"/>
      <c r="T54" s="345"/>
      <c r="U54" s="348"/>
      <c r="V54" s="348"/>
      <c r="W54" s="348"/>
      <c r="X54" s="348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0</v>
      </c>
      <c r="D55" s="14">
        <v>0</v>
      </c>
      <c r="E55" s="14">
        <v>1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N55" s="118" t="s">
        <v>2055</v>
      </c>
      <c r="O55" s="326" t="s">
        <v>2056</v>
      </c>
      <c r="P55" s="327"/>
      <c r="Q55" s="327"/>
      <c r="R55" s="327"/>
      <c r="S55" s="327"/>
      <c r="T55" s="327"/>
      <c r="U55" s="327"/>
      <c r="V55" s="327"/>
      <c r="W55" s="327"/>
      <c r="X55" s="327"/>
      <c r="Y55" s="328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27"/>
    </row>
    <row r="61" spans="2:27" s="3" customFormat="1">
      <c r="B61" s="3" t="s">
        <v>73</v>
      </c>
      <c r="C61" s="14">
        <v>229</v>
      </c>
      <c r="D61" s="14">
        <v>0</v>
      </c>
      <c r="E61" s="14">
        <v>0</v>
      </c>
      <c r="F61" s="14">
        <v>106</v>
      </c>
      <c r="G61" s="14">
        <v>24</v>
      </c>
      <c r="H61" s="14">
        <v>-48</v>
      </c>
      <c r="I61" s="14">
        <v>78</v>
      </c>
      <c r="J61" s="14">
        <v>15</v>
      </c>
      <c r="AA61" s="127"/>
    </row>
    <row r="62" spans="2:27" s="3" customFormat="1">
      <c r="B62" s="3" t="s">
        <v>74</v>
      </c>
      <c r="C62" s="14">
        <v>15</v>
      </c>
      <c r="D62" s="14">
        <v>34</v>
      </c>
      <c r="E62" s="14">
        <v>57</v>
      </c>
      <c r="F62" s="14">
        <v>81</v>
      </c>
      <c r="G62" s="14">
        <v>2</v>
      </c>
      <c r="H62" s="14">
        <v>27</v>
      </c>
      <c r="I62" s="14">
        <v>13</v>
      </c>
      <c r="J62" s="14">
        <v>-23</v>
      </c>
      <c r="Q62" s="14"/>
      <c r="R62" s="14"/>
      <c r="T62" s="14"/>
      <c r="AA62" s="127"/>
    </row>
    <row r="63" spans="2:27" s="3" customFormat="1">
      <c r="B63" s="3" t="s">
        <v>75</v>
      </c>
      <c r="C63" s="14">
        <v>459</v>
      </c>
      <c r="D63" s="14">
        <v>71</v>
      </c>
      <c r="E63" s="14">
        <v>90</v>
      </c>
      <c r="F63" s="14">
        <v>220</v>
      </c>
      <c r="G63" s="14">
        <v>88</v>
      </c>
      <c r="H63" s="14">
        <v>13</v>
      </c>
      <c r="I63" s="14">
        <v>123</v>
      </c>
      <c r="J63" s="14">
        <v>43</v>
      </c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39</v>
      </c>
      <c r="D64" s="14">
        <v>48</v>
      </c>
      <c r="E64" s="14">
        <v>43</v>
      </c>
      <c r="F64" s="14">
        <v>42</v>
      </c>
      <c r="G64" s="14">
        <v>36</v>
      </c>
      <c r="H64" s="14">
        <v>33</v>
      </c>
      <c r="I64" s="14">
        <v>33</v>
      </c>
      <c r="J64" s="14">
        <v>20</v>
      </c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0</v>
      </c>
      <c r="D68" s="14">
        <v>3</v>
      </c>
      <c r="E68" s="14">
        <v>1</v>
      </c>
      <c r="F68" s="14">
        <v>0</v>
      </c>
      <c r="G68" s="14">
        <v>1</v>
      </c>
      <c r="H68" s="14">
        <v>2</v>
      </c>
      <c r="I68" s="14">
        <v>1</v>
      </c>
      <c r="J68" s="14">
        <v>-4</v>
      </c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-1</v>
      </c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-71</v>
      </c>
      <c r="D74" s="14">
        <v>2</v>
      </c>
      <c r="E74" s="14">
        <v>69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8</v>
      </c>
      <c r="D76" s="14">
        <v>8</v>
      </c>
      <c r="E76" s="14">
        <v>5</v>
      </c>
      <c r="F76" s="14">
        <v>-3</v>
      </c>
      <c r="G76" s="14">
        <v>0</v>
      </c>
      <c r="H76" s="14">
        <v>12</v>
      </c>
      <c r="I76" s="14">
        <v>8</v>
      </c>
      <c r="J76" s="14">
        <v>-26</v>
      </c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-23</v>
      </c>
      <c r="D77" s="14">
        <v>60</v>
      </c>
      <c r="E77" s="14">
        <v>118</v>
      </c>
      <c r="F77" s="14">
        <v>39</v>
      </c>
      <c r="G77" s="14">
        <v>37</v>
      </c>
      <c r="H77" s="14">
        <v>47</v>
      </c>
      <c r="I77" s="14">
        <v>42</v>
      </c>
      <c r="J77" s="14">
        <v>-11</v>
      </c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1493</v>
      </c>
      <c r="D78" s="14">
        <v>1187</v>
      </c>
      <c r="E78" s="14">
        <v>693</v>
      </c>
      <c r="F78" s="14">
        <v>1063</v>
      </c>
      <c r="G78" s="14">
        <v>1244</v>
      </c>
      <c r="H78" s="14">
        <v>1192</v>
      </c>
      <c r="I78" s="14">
        <v>1078</v>
      </c>
      <c r="J78" s="14">
        <v>992</v>
      </c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221</v>
      </c>
      <c r="D79" s="14">
        <v>343</v>
      </c>
      <c r="E79" s="14">
        <v>125</v>
      </c>
      <c r="F79" s="14">
        <v>88</v>
      </c>
      <c r="G79" s="14">
        <v>308</v>
      </c>
      <c r="H79" s="14">
        <v>281</v>
      </c>
      <c r="I79" s="14">
        <v>222</v>
      </c>
      <c r="J79" s="14">
        <v>221</v>
      </c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1271</v>
      </c>
      <c r="D80" s="14">
        <v>844</v>
      </c>
      <c r="E80" s="14">
        <v>568</v>
      </c>
      <c r="F80" s="14">
        <v>975</v>
      </c>
      <c r="G80" s="14">
        <v>936</v>
      </c>
      <c r="H80" s="14">
        <v>910</v>
      </c>
      <c r="I80" s="14">
        <v>856</v>
      </c>
      <c r="J80" s="14">
        <v>772</v>
      </c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1271</v>
      </c>
      <c r="D84" s="14">
        <v>844</v>
      </c>
      <c r="E84" s="14">
        <v>568</v>
      </c>
      <c r="F84" s="14">
        <v>975</v>
      </c>
      <c r="G84" s="14">
        <v>936</v>
      </c>
      <c r="H84" s="14">
        <v>910</v>
      </c>
      <c r="I84" s="14">
        <v>856</v>
      </c>
      <c r="J84" s="14">
        <v>772</v>
      </c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2</v>
      </c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1271</v>
      </c>
      <c r="D88" s="14">
        <v>844</v>
      </c>
      <c r="E88" s="14">
        <v>568</v>
      </c>
      <c r="F88" s="14">
        <v>975</v>
      </c>
      <c r="G88" s="14">
        <v>936</v>
      </c>
      <c r="H88" s="14">
        <v>910</v>
      </c>
      <c r="I88" s="14">
        <v>856</v>
      </c>
      <c r="J88" s="14">
        <v>769</v>
      </c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1.48</v>
      </c>
      <c r="D89" s="14">
        <v>1.03</v>
      </c>
      <c r="E89" s="14">
        <v>0.7</v>
      </c>
      <c r="F89" s="14">
        <v>1.19</v>
      </c>
      <c r="G89" s="14">
        <v>1.1499999999999999</v>
      </c>
      <c r="H89" s="14">
        <v>1.19</v>
      </c>
      <c r="I89" s="14">
        <v>1.1200000000000001</v>
      </c>
      <c r="J89" s="14">
        <v>1.01</v>
      </c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1.48</v>
      </c>
      <c r="D90" s="14">
        <v>1.03</v>
      </c>
      <c r="E90" s="14">
        <v>0.7</v>
      </c>
      <c r="F90" s="14" t="s">
        <v>98</v>
      </c>
      <c r="G90" s="14">
        <v>1.1499999999999999</v>
      </c>
      <c r="H90" s="14">
        <v>1.19</v>
      </c>
      <c r="I90" s="14">
        <v>1.1200000000000001</v>
      </c>
      <c r="J90" s="14" t="s">
        <v>98</v>
      </c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8573</v>
      </c>
      <c r="D91" s="14">
        <v>8165</v>
      </c>
      <c r="E91" s="14">
        <v>8165</v>
      </c>
      <c r="F91" s="14">
        <v>8165</v>
      </c>
      <c r="G91" s="14">
        <v>8165</v>
      </c>
      <c r="H91" s="14">
        <v>7630</v>
      </c>
      <c r="I91" s="14">
        <v>7630</v>
      </c>
      <c r="J91" s="14">
        <v>7630</v>
      </c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1532</v>
      </c>
      <c r="D96" s="14">
        <v>1235</v>
      </c>
      <c r="E96" s="14">
        <v>736</v>
      </c>
      <c r="F96" s="14">
        <v>1106</v>
      </c>
      <c r="G96" s="14">
        <v>1280</v>
      </c>
      <c r="H96" s="14">
        <v>1225</v>
      </c>
      <c r="I96" s="14">
        <v>1111</v>
      </c>
      <c r="J96" s="14">
        <v>1012</v>
      </c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1814</v>
      </c>
      <c r="D97" s="14">
        <v>1520</v>
      </c>
      <c r="E97" s="14">
        <v>1027</v>
      </c>
      <c r="F97" s="14">
        <v>1387</v>
      </c>
      <c r="G97" s="14">
        <v>1554</v>
      </c>
      <c r="H97" s="14">
        <v>1514</v>
      </c>
      <c r="I97" s="14">
        <v>1399</v>
      </c>
      <c r="J97" s="14">
        <v>1291</v>
      </c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1272</v>
      </c>
      <c r="D98" s="14">
        <v>847</v>
      </c>
      <c r="E98" s="14">
        <v>568</v>
      </c>
      <c r="F98" s="14">
        <v>974</v>
      </c>
      <c r="G98" s="14">
        <v>937</v>
      </c>
      <c r="H98" s="14">
        <v>913</v>
      </c>
      <c r="I98" s="14">
        <v>857</v>
      </c>
      <c r="J98" s="14">
        <v>767</v>
      </c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2059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13877</v>
      </c>
      <c r="D125" s="14">
        <v>12046</v>
      </c>
      <c r="E125" s="14">
        <v>12153</v>
      </c>
      <c r="F125" s="14">
        <v>12280</v>
      </c>
      <c r="G125" s="14">
        <v>12197</v>
      </c>
      <c r="H125" s="14">
        <v>10580</v>
      </c>
      <c r="I125" s="14">
        <v>10323</v>
      </c>
      <c r="J125" s="14">
        <v>10528</v>
      </c>
      <c r="AA125" s="127"/>
    </row>
    <row r="126" spans="2:27" s="3" customFormat="1">
      <c r="B126" s="3" t="s">
        <v>153</v>
      </c>
      <c r="C126" s="14">
        <v>1</v>
      </c>
      <c r="D126" s="14">
        <v>1</v>
      </c>
      <c r="E126" s="14">
        <v>1</v>
      </c>
      <c r="F126" s="14">
        <v>12</v>
      </c>
      <c r="G126" s="14">
        <v>12</v>
      </c>
      <c r="H126" s="14">
        <v>19</v>
      </c>
      <c r="I126" s="14">
        <v>19</v>
      </c>
      <c r="J126" s="14">
        <v>21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4029</v>
      </c>
      <c r="D127" s="14">
        <v>4063</v>
      </c>
      <c r="E127" s="14">
        <v>3879</v>
      </c>
      <c r="F127" s="14">
        <v>4131</v>
      </c>
      <c r="G127" s="14">
        <v>4155</v>
      </c>
      <c r="H127" s="14">
        <v>3891</v>
      </c>
      <c r="I127" s="14">
        <v>4048</v>
      </c>
      <c r="J127" s="14">
        <v>3496</v>
      </c>
      <c r="AA127" s="127"/>
    </row>
    <row r="128" spans="2:27" s="3" customFormat="1">
      <c r="B128" s="3" t="s">
        <v>154</v>
      </c>
      <c r="C128" s="14">
        <v>89</v>
      </c>
      <c r="D128" s="14">
        <v>63</v>
      </c>
      <c r="E128" s="14">
        <v>83</v>
      </c>
      <c r="F128" s="14">
        <v>63</v>
      </c>
      <c r="G128" s="14">
        <v>53</v>
      </c>
      <c r="H128" s="14">
        <v>56</v>
      </c>
      <c r="I128" s="14">
        <v>52</v>
      </c>
      <c r="J128" s="14">
        <v>56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7"/>
    </row>
    <row r="130" spans="2:27" s="3" customFormat="1">
      <c r="B130" s="3" t="s">
        <v>15</v>
      </c>
      <c r="C130" s="14">
        <v>6009</v>
      </c>
      <c r="D130" s="14">
        <v>6119</v>
      </c>
      <c r="E130" s="14">
        <v>6064</v>
      </c>
      <c r="F130" s="14">
        <v>6580</v>
      </c>
      <c r="G130" s="14">
        <v>6173</v>
      </c>
      <c r="H130" s="14">
        <v>6269</v>
      </c>
      <c r="I130" s="14">
        <v>6174</v>
      </c>
      <c r="J130" s="14">
        <v>5811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525</v>
      </c>
      <c r="D132" s="14">
        <v>670</v>
      </c>
      <c r="E132" s="14">
        <v>715</v>
      </c>
      <c r="F132" s="14">
        <v>745</v>
      </c>
      <c r="G132" s="14">
        <v>779</v>
      </c>
      <c r="H132" s="14">
        <v>876</v>
      </c>
      <c r="I132" s="14">
        <v>728</v>
      </c>
      <c r="J132" s="14">
        <v>732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3</v>
      </c>
      <c r="D133" s="14">
        <v>4</v>
      </c>
      <c r="E133" s="14">
        <v>3</v>
      </c>
      <c r="F133" s="14">
        <v>18</v>
      </c>
      <c r="G133" s="14">
        <v>5</v>
      </c>
      <c r="H133" s="14">
        <v>4</v>
      </c>
      <c r="I133" s="14">
        <v>3</v>
      </c>
      <c r="J133" s="14">
        <v>157</v>
      </c>
      <c r="AA133" s="127"/>
    </row>
    <row r="134" spans="2:27" s="3" customFormat="1">
      <c r="B134" s="3" t="s">
        <v>157</v>
      </c>
      <c r="C134" s="14">
        <v>28415</v>
      </c>
      <c r="D134" s="14">
        <v>26692</v>
      </c>
      <c r="E134" s="14">
        <v>26375</v>
      </c>
      <c r="F134" s="14">
        <v>26804</v>
      </c>
      <c r="G134" s="14">
        <v>24924</v>
      </c>
      <c r="H134" s="14">
        <v>23659</v>
      </c>
      <c r="I134" s="14">
        <v>22867</v>
      </c>
      <c r="J134" s="14">
        <v>21676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131</v>
      </c>
      <c r="D135" s="14">
        <v>128</v>
      </c>
      <c r="E135" s="14">
        <v>135</v>
      </c>
      <c r="F135" s="14">
        <v>136</v>
      </c>
      <c r="G135" s="14">
        <v>134</v>
      </c>
      <c r="H135" s="14">
        <v>133</v>
      </c>
      <c r="I135" s="14">
        <v>134</v>
      </c>
      <c r="J135" s="14">
        <v>133</v>
      </c>
      <c r="AA135" s="127"/>
    </row>
    <row r="136" spans="2:27" s="3" customFormat="1">
      <c r="B136" s="3" t="s">
        <v>159</v>
      </c>
      <c r="C136" s="14">
        <v>929</v>
      </c>
      <c r="D136" s="14">
        <v>924</v>
      </c>
      <c r="E136" s="14">
        <v>911</v>
      </c>
      <c r="F136" s="14">
        <v>912</v>
      </c>
      <c r="G136" s="14">
        <v>910</v>
      </c>
      <c r="H136" s="14">
        <v>856</v>
      </c>
      <c r="I136" s="14">
        <v>857</v>
      </c>
      <c r="J136" s="14">
        <v>855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>
        <v>5478</v>
      </c>
      <c r="D137" s="14">
        <v>5327</v>
      </c>
      <c r="E137" s="14">
        <v>5370</v>
      </c>
      <c r="F137" s="14">
        <v>5391</v>
      </c>
      <c r="G137" s="14">
        <v>5150</v>
      </c>
      <c r="H137" s="14">
        <v>5064</v>
      </c>
      <c r="I137" s="14">
        <v>5018</v>
      </c>
      <c r="J137" s="14">
        <v>4894</v>
      </c>
      <c r="AA137" s="127"/>
    </row>
    <row r="138" spans="2:27" s="3" customFormat="1">
      <c r="B138" s="3" t="s">
        <v>161</v>
      </c>
      <c r="C138" s="14">
        <v>13126</v>
      </c>
      <c r="D138" s="14">
        <v>12640</v>
      </c>
      <c r="E138" s="14">
        <v>12643</v>
      </c>
      <c r="F138" s="14">
        <v>12654</v>
      </c>
      <c r="G138" s="14">
        <v>11861</v>
      </c>
      <c r="H138" s="14">
        <v>11509</v>
      </c>
      <c r="I138" s="14">
        <v>11523</v>
      </c>
      <c r="J138" s="14">
        <v>11163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>
        <v>1596</v>
      </c>
      <c r="D139" s="14">
        <v>1542</v>
      </c>
      <c r="E139" s="14">
        <v>1534</v>
      </c>
      <c r="F139" s="14">
        <v>1515</v>
      </c>
      <c r="G139" s="14">
        <v>1404</v>
      </c>
      <c r="H139" s="14">
        <v>1346</v>
      </c>
      <c r="I139" s="14">
        <v>1310</v>
      </c>
      <c r="J139" s="14">
        <v>1275</v>
      </c>
      <c r="AA139" s="127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>
        <v>-11316</v>
      </c>
      <c r="D141" s="14">
        <v>-10768</v>
      </c>
      <c r="E141" s="14">
        <v>-10603</v>
      </c>
      <c r="F141" s="14">
        <v>-10440</v>
      </c>
      <c r="G141" s="14">
        <v>-9820</v>
      </c>
      <c r="H141" s="14">
        <v>-9410</v>
      </c>
      <c r="I141" s="14">
        <v>-9323</v>
      </c>
      <c r="J141" s="14">
        <v>-8950</v>
      </c>
      <c r="AA141" s="127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>
        <v>316</v>
      </c>
      <c r="D143" s="14">
        <v>288</v>
      </c>
      <c r="E143" s="14">
        <v>288</v>
      </c>
      <c r="F143" s="14">
        <v>288</v>
      </c>
      <c r="G143" s="14">
        <v>35</v>
      </c>
      <c r="H143" s="14">
        <v>32</v>
      </c>
      <c r="I143" s="14">
        <v>140</v>
      </c>
      <c r="J143" s="14">
        <v>303</v>
      </c>
      <c r="AA143" s="127"/>
    </row>
    <row r="144" spans="2:27" s="3" customFormat="1">
      <c r="B144" s="3" t="s">
        <v>167</v>
      </c>
      <c r="C144" s="14">
        <v>10128</v>
      </c>
      <c r="D144" s="14">
        <v>9953</v>
      </c>
      <c r="E144" s="14">
        <v>10143</v>
      </c>
      <c r="F144" s="14">
        <v>10318</v>
      </c>
      <c r="G144" s="14">
        <v>9540</v>
      </c>
      <c r="H144" s="14">
        <v>9397</v>
      </c>
      <c r="I144" s="14">
        <v>9524</v>
      </c>
      <c r="J144" s="14">
        <v>9540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164</v>
      </c>
      <c r="D145" s="14">
        <v>143</v>
      </c>
      <c r="E145" s="14">
        <v>142</v>
      </c>
      <c r="F145" s="14">
        <v>126</v>
      </c>
      <c r="G145" s="14">
        <v>59</v>
      </c>
      <c r="H145" s="14">
        <v>64</v>
      </c>
      <c r="I145" s="14">
        <v>67</v>
      </c>
      <c r="J145" s="14">
        <v>94</v>
      </c>
      <c r="AA145" s="127"/>
    </row>
    <row r="146" spans="2:27" s="3" customFormat="1">
      <c r="B146" s="3" t="s">
        <v>169</v>
      </c>
      <c r="C146" s="14">
        <v>60</v>
      </c>
      <c r="D146" s="14">
        <v>60</v>
      </c>
      <c r="E146" s="14">
        <v>60</v>
      </c>
      <c r="F146" s="14">
        <v>64</v>
      </c>
      <c r="G146" s="14">
        <v>58</v>
      </c>
      <c r="H146" s="14">
        <v>59</v>
      </c>
      <c r="I146" s="14">
        <v>59</v>
      </c>
      <c r="J146" s="14">
        <v>61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1423</v>
      </c>
      <c r="D147" s="14">
        <v>1345</v>
      </c>
      <c r="E147" s="14">
        <v>1131</v>
      </c>
      <c r="F147" s="14">
        <v>981</v>
      </c>
      <c r="G147" s="14">
        <v>1103</v>
      </c>
      <c r="H147" s="14">
        <v>1091</v>
      </c>
      <c r="I147" s="14">
        <v>1039</v>
      </c>
      <c r="J147" s="14">
        <v>895</v>
      </c>
      <c r="AA147" s="127"/>
    </row>
    <row r="148" spans="2:27" s="3" customFormat="1">
      <c r="B148" s="3" t="s">
        <v>171</v>
      </c>
      <c r="C148" s="14">
        <v>1648</v>
      </c>
      <c r="D148" s="14">
        <v>1548</v>
      </c>
      <c r="E148" s="14">
        <v>1333</v>
      </c>
      <c r="F148" s="14">
        <v>1170</v>
      </c>
      <c r="G148" s="14">
        <v>1219</v>
      </c>
      <c r="H148" s="14">
        <v>1214</v>
      </c>
      <c r="I148" s="14">
        <v>1165</v>
      </c>
      <c r="J148" s="14">
        <v>1050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40322</v>
      </c>
      <c r="D149" s="14">
        <v>38321</v>
      </c>
      <c r="E149" s="14">
        <v>37985</v>
      </c>
      <c r="F149" s="14">
        <v>38429</v>
      </c>
      <c r="G149" s="14">
        <v>35817</v>
      </c>
      <c r="H149" s="14">
        <v>34402</v>
      </c>
      <c r="I149" s="14">
        <v>33690</v>
      </c>
      <c r="J149" s="14">
        <v>32399</v>
      </c>
      <c r="AA149" s="127"/>
    </row>
    <row r="150" spans="2:27" s="3" customFormat="1">
      <c r="B150" s="3" t="s">
        <v>193</v>
      </c>
      <c r="C150" s="14">
        <v>1227</v>
      </c>
      <c r="D150" s="14">
        <v>1362</v>
      </c>
      <c r="E150" s="14">
        <v>1700</v>
      </c>
      <c r="F150" s="14">
        <v>1882</v>
      </c>
      <c r="G150" s="14">
        <v>1966</v>
      </c>
      <c r="H150" s="14">
        <v>2031</v>
      </c>
      <c r="I150" s="14">
        <v>1950</v>
      </c>
      <c r="J150" s="14">
        <v>1588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150</v>
      </c>
      <c r="D151" s="14">
        <v>149</v>
      </c>
      <c r="E151" s="14">
        <v>149</v>
      </c>
      <c r="F151" s="14">
        <v>149</v>
      </c>
      <c r="G151" s="14">
        <v>149</v>
      </c>
      <c r="H151" s="14">
        <v>149</v>
      </c>
      <c r="I151" s="14">
        <v>149</v>
      </c>
      <c r="J151" s="14">
        <v>149</v>
      </c>
      <c r="AA151" s="127"/>
    </row>
    <row r="152" spans="2:27" s="3" customFormat="1">
      <c r="B152" s="3" t="s">
        <v>16</v>
      </c>
      <c r="C152" s="14">
        <v>1596</v>
      </c>
      <c r="D152" s="14">
        <v>1784</v>
      </c>
      <c r="E152" s="14">
        <v>1771</v>
      </c>
      <c r="F152" s="14">
        <v>2022</v>
      </c>
      <c r="G152" s="14">
        <v>1904</v>
      </c>
      <c r="H152" s="14">
        <v>1942</v>
      </c>
      <c r="I152" s="14">
        <v>1917</v>
      </c>
      <c r="J152" s="14">
        <v>1996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482</v>
      </c>
      <c r="D153" s="14">
        <v>425</v>
      </c>
      <c r="E153" s="14">
        <v>389</v>
      </c>
      <c r="F153" s="14">
        <v>553</v>
      </c>
      <c r="G153" s="14">
        <v>511</v>
      </c>
      <c r="H153" s="14">
        <v>458</v>
      </c>
      <c r="I153" s="14">
        <v>409</v>
      </c>
      <c r="J153" s="14">
        <v>475</v>
      </c>
      <c r="AA153" s="127"/>
    </row>
    <row r="154" spans="2:27" s="3" customFormat="1">
      <c r="B154" s="3" t="s">
        <v>173</v>
      </c>
      <c r="C154" s="14">
        <v>302</v>
      </c>
      <c r="D154" s="14">
        <v>305</v>
      </c>
      <c r="E154" s="14">
        <v>420</v>
      </c>
      <c r="F154" s="14">
        <v>264</v>
      </c>
      <c r="G154" s="14">
        <v>376</v>
      </c>
      <c r="H154" s="14">
        <v>360</v>
      </c>
      <c r="I154" s="14">
        <v>374</v>
      </c>
      <c r="J154" s="14">
        <v>256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3310</v>
      </c>
      <c r="D155" s="14">
        <v>3262</v>
      </c>
      <c r="E155" s="14">
        <v>1467</v>
      </c>
      <c r="F155" s="14">
        <v>1658</v>
      </c>
      <c r="G155" s="14">
        <v>2857</v>
      </c>
      <c r="H155" s="14">
        <v>2922</v>
      </c>
      <c r="I155" s="14">
        <v>1312</v>
      </c>
      <c r="J155" s="14">
        <v>1354</v>
      </c>
      <c r="AA155" s="127"/>
    </row>
    <row r="156" spans="2:27" s="3" customFormat="1">
      <c r="B156" s="3" t="s">
        <v>175</v>
      </c>
      <c r="C156" s="14">
        <v>303</v>
      </c>
      <c r="D156" s="14">
        <v>361</v>
      </c>
      <c r="E156" s="14">
        <v>345</v>
      </c>
      <c r="F156" s="14">
        <v>278</v>
      </c>
      <c r="G156" s="14">
        <v>402</v>
      </c>
      <c r="H156" s="14">
        <v>371</v>
      </c>
      <c r="I156" s="14">
        <v>372</v>
      </c>
      <c r="J156" s="14">
        <v>452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2936</v>
      </c>
      <c r="D157" s="14">
        <v>2002</v>
      </c>
      <c r="E157" s="14">
        <v>1366</v>
      </c>
      <c r="F157" s="14">
        <v>1451</v>
      </c>
      <c r="G157" s="14">
        <v>904</v>
      </c>
      <c r="H157" s="14">
        <v>1149</v>
      </c>
      <c r="I157" s="14">
        <v>1185</v>
      </c>
      <c r="J157" s="14">
        <v>802</v>
      </c>
      <c r="AA157" s="127"/>
    </row>
    <row r="158" spans="2:27" s="3" customFormat="1">
      <c r="B158" s="3" t="s">
        <v>177</v>
      </c>
      <c r="C158" s="14">
        <v>6</v>
      </c>
      <c r="D158" s="14">
        <v>8</v>
      </c>
      <c r="E158" s="14">
        <v>7</v>
      </c>
      <c r="F158" s="14">
        <v>13</v>
      </c>
      <c r="G158" s="14">
        <v>6</v>
      </c>
      <c r="H158" s="14">
        <v>7</v>
      </c>
      <c r="I158" s="14">
        <v>6</v>
      </c>
      <c r="J158" s="14">
        <v>13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10311</v>
      </c>
      <c r="D159" s="14">
        <v>9658</v>
      </c>
      <c r="E159" s="14">
        <v>7615</v>
      </c>
      <c r="F159" s="14">
        <v>8270</v>
      </c>
      <c r="G159" s="14">
        <v>9077</v>
      </c>
      <c r="H159" s="14">
        <v>9389</v>
      </c>
      <c r="I159" s="14">
        <v>7675</v>
      </c>
      <c r="J159" s="14">
        <v>7085</v>
      </c>
      <c r="AA159" s="127"/>
    </row>
    <row r="160" spans="2:27" s="3" customFormat="1">
      <c r="B160" s="3" t="s">
        <v>179</v>
      </c>
      <c r="C160" s="14">
        <v>6358</v>
      </c>
      <c r="D160" s="14">
        <v>7234</v>
      </c>
      <c r="E160" s="14">
        <v>7649</v>
      </c>
      <c r="F160" s="14">
        <v>7608</v>
      </c>
      <c r="G160" s="14">
        <v>6745</v>
      </c>
      <c r="H160" s="14">
        <v>6364</v>
      </c>
      <c r="I160" s="14">
        <v>6468</v>
      </c>
      <c r="J160" s="14">
        <v>6916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523</v>
      </c>
      <c r="D162" s="14">
        <v>527</v>
      </c>
      <c r="E162" s="14">
        <v>532</v>
      </c>
      <c r="F162" s="14">
        <v>537</v>
      </c>
      <c r="G162" s="14">
        <v>494</v>
      </c>
      <c r="H162" s="14">
        <v>499</v>
      </c>
      <c r="I162" s="14">
        <v>504</v>
      </c>
      <c r="J162" s="14">
        <v>509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1361</v>
      </c>
      <c r="D163" s="14">
        <v>1176</v>
      </c>
      <c r="E163" s="14">
        <v>1233</v>
      </c>
      <c r="F163" s="14">
        <v>1101</v>
      </c>
      <c r="G163" s="14">
        <v>1087</v>
      </c>
      <c r="H163" s="14">
        <v>1010</v>
      </c>
      <c r="I163" s="14">
        <v>1091</v>
      </c>
      <c r="J163" s="14">
        <v>854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208</v>
      </c>
      <c r="G164" s="14">
        <v>0</v>
      </c>
      <c r="H164" s="14">
        <v>0</v>
      </c>
      <c r="I164" s="14">
        <v>0</v>
      </c>
      <c r="J164" s="14">
        <v>208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7"/>
    </row>
    <row r="166" spans="2:27" s="3" customFormat="1">
      <c r="B166" s="3" t="s">
        <v>185</v>
      </c>
      <c r="C166" s="14">
        <v>534</v>
      </c>
      <c r="D166" s="14">
        <v>522</v>
      </c>
      <c r="E166" s="14">
        <v>525</v>
      </c>
      <c r="F166" s="14">
        <v>532</v>
      </c>
      <c r="G166" s="14">
        <v>19</v>
      </c>
      <c r="H166" s="14">
        <v>19</v>
      </c>
      <c r="I166" s="14">
        <v>14</v>
      </c>
      <c r="J166" s="14">
        <v>14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2418</v>
      </c>
      <c r="D167" s="14">
        <v>2225</v>
      </c>
      <c r="E167" s="14">
        <v>2290</v>
      </c>
      <c r="F167" s="14">
        <v>2378</v>
      </c>
      <c r="G167" s="14">
        <v>1600</v>
      </c>
      <c r="H167" s="14">
        <v>1528</v>
      </c>
      <c r="I167" s="14">
        <v>1610</v>
      </c>
      <c r="J167" s="14">
        <v>1585</v>
      </c>
      <c r="AA167" s="127"/>
    </row>
    <row r="168" spans="2:27" s="3" customFormat="1">
      <c r="B168" s="3" t="s">
        <v>17</v>
      </c>
      <c r="C168" s="14">
        <v>19087</v>
      </c>
      <c r="D168" s="14">
        <v>19117</v>
      </c>
      <c r="E168" s="14">
        <v>17554</v>
      </c>
      <c r="F168" s="14">
        <v>18256</v>
      </c>
      <c r="G168" s="14">
        <v>17421</v>
      </c>
      <c r="H168" s="14">
        <v>17281</v>
      </c>
      <c r="I168" s="14">
        <v>15753</v>
      </c>
      <c r="J168" s="14">
        <v>15586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21235</v>
      </c>
      <c r="D169" s="14">
        <v>19203</v>
      </c>
      <c r="E169" s="14">
        <v>20432</v>
      </c>
      <c r="F169" s="14">
        <v>20173</v>
      </c>
      <c r="G169" s="14">
        <v>18396</v>
      </c>
      <c r="H169" s="14">
        <v>17121</v>
      </c>
      <c r="I169" s="14">
        <v>17937</v>
      </c>
      <c r="J169" s="14">
        <v>16813</v>
      </c>
      <c r="AA169" s="127"/>
    </row>
    <row r="170" spans="2:27" s="3" customFormat="1">
      <c r="B170" s="3" t="s">
        <v>195</v>
      </c>
      <c r="C170" s="14">
        <v>8573</v>
      </c>
      <c r="D170" s="14">
        <v>8165</v>
      </c>
      <c r="E170" s="14">
        <v>8165</v>
      </c>
      <c r="F170" s="14">
        <v>8165</v>
      </c>
      <c r="G170" s="14">
        <v>8165</v>
      </c>
      <c r="H170" s="14">
        <v>7630</v>
      </c>
      <c r="I170" s="14">
        <v>7630</v>
      </c>
      <c r="J170" s="14">
        <v>7630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0</v>
      </c>
      <c r="D172" s="14">
        <v>0</v>
      </c>
      <c r="E172" s="14">
        <v>0</v>
      </c>
      <c r="F172" s="14">
        <v>0</v>
      </c>
      <c r="G172" s="14">
        <v>0</v>
      </c>
      <c r="H172" s="14">
        <v>0</v>
      </c>
      <c r="I172" s="14">
        <v>0</v>
      </c>
      <c r="J172" s="14">
        <v>0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2355</v>
      </c>
      <c r="D173" s="14">
        <v>2355</v>
      </c>
      <c r="E173" s="14">
        <v>1988</v>
      </c>
      <c r="F173" s="14">
        <v>1988</v>
      </c>
      <c r="G173" s="14">
        <v>1988</v>
      </c>
      <c r="H173" s="14">
        <v>1988</v>
      </c>
      <c r="I173" s="14">
        <v>1664</v>
      </c>
      <c r="J173" s="14">
        <v>1664</v>
      </c>
      <c r="AA173" s="127"/>
    </row>
    <row r="174" spans="2:27" s="3" customFormat="1">
      <c r="B174" s="3" t="s">
        <v>199</v>
      </c>
      <c r="C174" s="14">
        <v>720</v>
      </c>
      <c r="D174" s="14">
        <v>720</v>
      </c>
      <c r="E174" s="14">
        <v>720</v>
      </c>
      <c r="F174" s="14">
        <v>720</v>
      </c>
      <c r="G174" s="14">
        <v>720</v>
      </c>
      <c r="H174" s="14">
        <v>720</v>
      </c>
      <c r="I174" s="14">
        <v>720</v>
      </c>
      <c r="J174" s="14">
        <v>720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8106</v>
      </c>
      <c r="D175" s="14">
        <v>6835</v>
      </c>
      <c r="E175" s="14">
        <v>8604</v>
      </c>
      <c r="F175" s="14">
        <v>8036</v>
      </c>
      <c r="G175" s="14">
        <v>7101</v>
      </c>
      <c r="H175" s="14">
        <v>6165</v>
      </c>
      <c r="I175" s="14">
        <v>7486</v>
      </c>
      <c r="J175" s="14">
        <v>6630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27"/>
    </row>
    <row r="178" spans="2:27" s="3" customFormat="1">
      <c r="B178" s="3" t="s">
        <v>189</v>
      </c>
      <c r="C178" s="14">
        <v>40322</v>
      </c>
      <c r="D178" s="14">
        <v>38321</v>
      </c>
      <c r="E178" s="14">
        <v>37985</v>
      </c>
      <c r="F178" s="14">
        <v>38429</v>
      </c>
      <c r="G178" s="14">
        <v>35817</v>
      </c>
      <c r="H178" s="14">
        <v>34402</v>
      </c>
      <c r="I178" s="14">
        <v>33690</v>
      </c>
      <c r="J178" s="14">
        <v>32399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2058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7"/>
      <c r="W223" s="14"/>
      <c r="AA223" s="62"/>
    </row>
    <row r="224" spans="2:27" s="3" customFormat="1">
      <c r="B224" s="3" t="s">
        <v>112</v>
      </c>
      <c r="C224" s="14">
        <v>1271</v>
      </c>
      <c r="D224" s="14">
        <v>844</v>
      </c>
      <c r="E224" s="14">
        <v>568</v>
      </c>
      <c r="F224" s="14">
        <v>975</v>
      </c>
      <c r="G224" s="14">
        <v>936</v>
      </c>
      <c r="H224" s="14">
        <v>910</v>
      </c>
      <c r="I224" s="14">
        <v>856</v>
      </c>
      <c r="J224" s="14">
        <v>772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7"/>
      <c r="W225" s="14"/>
      <c r="AA225" s="62"/>
    </row>
    <row r="226" spans="2:27" s="3" customFormat="1">
      <c r="B226" s="3" t="s">
        <v>114</v>
      </c>
      <c r="C226" s="14">
        <v>274</v>
      </c>
      <c r="D226" s="14">
        <v>278</v>
      </c>
      <c r="E226" s="14">
        <v>284</v>
      </c>
      <c r="F226" s="14">
        <v>275</v>
      </c>
      <c r="G226" s="14">
        <v>266</v>
      </c>
      <c r="H226" s="14">
        <v>276</v>
      </c>
      <c r="I226" s="14">
        <v>275</v>
      </c>
      <c r="J226" s="14">
        <v>271</v>
      </c>
      <c r="AA226" s="62"/>
    </row>
    <row r="227" spans="2:27" s="3" customFormat="1">
      <c r="B227" s="3" t="s">
        <v>115</v>
      </c>
      <c r="C227" s="14">
        <v>8</v>
      </c>
      <c r="D227" s="14">
        <v>7</v>
      </c>
      <c r="E227" s="14">
        <v>8</v>
      </c>
      <c r="F227" s="14">
        <v>7</v>
      </c>
      <c r="G227" s="14">
        <v>8</v>
      </c>
      <c r="H227" s="14">
        <v>13</v>
      </c>
      <c r="I227" s="14">
        <v>13</v>
      </c>
      <c r="J227" s="14">
        <v>8</v>
      </c>
      <c r="P227" s="137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37"/>
      <c r="W229" s="14"/>
      <c r="AA229" s="62"/>
    </row>
    <row r="230" spans="2:27" s="3" customFormat="1">
      <c r="B230" s="3" t="s">
        <v>118</v>
      </c>
      <c r="C230" s="14">
        <v>152</v>
      </c>
      <c r="D230" s="14">
        <v>0</v>
      </c>
      <c r="E230" s="14">
        <v>0</v>
      </c>
      <c r="F230" s="14">
        <v>-29</v>
      </c>
      <c r="G230" s="14">
        <v>29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7"/>
      <c r="W231" s="14"/>
      <c r="AA231" s="62"/>
    </row>
    <row r="232" spans="2:27" s="3" customFormat="1">
      <c r="B232" s="3" t="s">
        <v>120</v>
      </c>
      <c r="C232" s="14">
        <v>0</v>
      </c>
      <c r="D232" s="14">
        <v>3</v>
      </c>
      <c r="E232" s="14">
        <v>1</v>
      </c>
      <c r="F232" s="14">
        <v>0</v>
      </c>
      <c r="G232" s="14">
        <v>1</v>
      </c>
      <c r="H232" s="14">
        <v>2</v>
      </c>
      <c r="I232" s="14">
        <v>1</v>
      </c>
      <c r="J232" s="14">
        <v>-4</v>
      </c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7"/>
      <c r="W233" s="14"/>
      <c r="AA233" s="62"/>
    </row>
    <row r="234" spans="2:27" s="3" customFormat="1">
      <c r="B234" s="3" t="s">
        <v>122</v>
      </c>
      <c r="C234" s="14">
        <v>-4</v>
      </c>
      <c r="D234" s="14">
        <v>-4</v>
      </c>
      <c r="E234" s="14">
        <v>-5</v>
      </c>
      <c r="F234" s="14">
        <v>-5</v>
      </c>
      <c r="G234" s="14">
        <v>-5</v>
      </c>
      <c r="H234" s="14">
        <v>-5</v>
      </c>
      <c r="I234" s="14">
        <v>-5</v>
      </c>
      <c r="J234" s="14">
        <v>-7</v>
      </c>
      <c r="AA234" s="62"/>
    </row>
    <row r="235" spans="2:27">
      <c r="B235" s="3" t="s">
        <v>123</v>
      </c>
      <c r="C235" s="14">
        <v>34</v>
      </c>
      <c r="D235" s="14">
        <v>-185</v>
      </c>
      <c r="E235" s="14">
        <v>252</v>
      </c>
      <c r="F235" s="14">
        <v>24</v>
      </c>
      <c r="G235" s="14">
        <v>-264</v>
      </c>
      <c r="H235" s="14">
        <v>157</v>
      </c>
      <c r="I235" s="14">
        <v>-552</v>
      </c>
      <c r="J235" s="14">
        <v>95</v>
      </c>
      <c r="P235" s="67"/>
      <c r="W235" s="46"/>
    </row>
    <row r="236" spans="2:27">
      <c r="B236" s="3" t="s">
        <v>124</v>
      </c>
      <c r="C236" s="14">
        <v>110</v>
      </c>
      <c r="D236" s="14">
        <v>-55</v>
      </c>
      <c r="E236" s="14">
        <v>515</v>
      </c>
      <c r="F236" s="14">
        <v>-406</v>
      </c>
      <c r="G236" s="14">
        <v>95</v>
      </c>
      <c r="H236" s="14">
        <v>-95</v>
      </c>
      <c r="I236" s="14">
        <v>-364</v>
      </c>
      <c r="J236" s="14">
        <v>-415</v>
      </c>
    </row>
    <row r="237" spans="2:27">
      <c r="B237" s="3" t="s">
        <v>125</v>
      </c>
      <c r="C237" s="14">
        <v>-188</v>
      </c>
      <c r="D237" s="14">
        <v>13</v>
      </c>
      <c r="E237" s="14">
        <v>-252</v>
      </c>
      <c r="F237" s="14">
        <v>118</v>
      </c>
      <c r="G237" s="14">
        <v>-37</v>
      </c>
      <c r="H237" s="14">
        <v>25</v>
      </c>
      <c r="I237" s="14">
        <v>-79</v>
      </c>
      <c r="J237" s="14">
        <v>128</v>
      </c>
      <c r="P237" s="67"/>
      <c r="W237" s="46"/>
    </row>
    <row r="238" spans="2:27">
      <c r="B238" s="3" t="s">
        <v>126</v>
      </c>
      <c r="C238" s="14">
        <v>336</v>
      </c>
      <c r="D238" s="14">
        <v>-103</v>
      </c>
      <c r="E238" s="14">
        <v>-159</v>
      </c>
      <c r="F238" s="14">
        <v>240</v>
      </c>
      <c r="G238" s="14">
        <v>250</v>
      </c>
      <c r="H238" s="14">
        <v>19</v>
      </c>
      <c r="I238" s="14">
        <v>226</v>
      </c>
      <c r="J238" s="14">
        <v>-155</v>
      </c>
    </row>
    <row r="239" spans="2:27">
      <c r="B239" s="3" t="s">
        <v>19</v>
      </c>
      <c r="C239" s="14">
        <v>1995</v>
      </c>
      <c r="D239" s="14">
        <v>798</v>
      </c>
      <c r="E239" s="14">
        <v>1223</v>
      </c>
      <c r="F239" s="14">
        <v>1197</v>
      </c>
      <c r="G239" s="14">
        <v>1286</v>
      </c>
      <c r="H239" s="14">
        <v>1302</v>
      </c>
      <c r="I239" s="14">
        <v>374</v>
      </c>
      <c r="J239" s="14">
        <v>689</v>
      </c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-592</v>
      </c>
    </row>
    <row r="243" spans="2:23">
      <c r="B243" s="3" t="s">
        <v>129</v>
      </c>
      <c r="C243" s="14">
        <v>2</v>
      </c>
      <c r="D243" s="14">
        <v>10</v>
      </c>
      <c r="E243" s="14">
        <v>11</v>
      </c>
      <c r="F243" s="14">
        <v>15</v>
      </c>
      <c r="G243" s="14">
        <v>2</v>
      </c>
      <c r="H243" s="14">
        <v>27</v>
      </c>
      <c r="I243" s="14">
        <v>11</v>
      </c>
      <c r="J243" s="14">
        <v>8</v>
      </c>
      <c r="P243" s="67"/>
      <c r="W243" s="46"/>
    </row>
    <row r="244" spans="2:23">
      <c r="B244" s="3" t="s">
        <v>20</v>
      </c>
      <c r="C244" s="14">
        <v>-298</v>
      </c>
      <c r="D244" s="14">
        <v>-240</v>
      </c>
      <c r="E244" s="14">
        <v>-306</v>
      </c>
      <c r="F244" s="14">
        <v>-271</v>
      </c>
      <c r="G244" s="14">
        <v>-269</v>
      </c>
      <c r="H244" s="14">
        <v>-424</v>
      </c>
      <c r="I244" s="14">
        <v>-391</v>
      </c>
      <c r="J244" s="14">
        <v>-249</v>
      </c>
    </row>
    <row r="245" spans="2:23">
      <c r="B245" s="3" t="s">
        <v>130</v>
      </c>
      <c r="C245" s="14">
        <v>-90</v>
      </c>
      <c r="D245" s="14">
        <v>-493</v>
      </c>
      <c r="E245" s="14">
        <v>-721</v>
      </c>
      <c r="F245" s="14">
        <v>-1560</v>
      </c>
      <c r="G245" s="14">
        <v>421</v>
      </c>
      <c r="H245" s="14">
        <v>-449</v>
      </c>
      <c r="I245" s="14">
        <v>-628</v>
      </c>
      <c r="J245" s="14">
        <v>-536</v>
      </c>
      <c r="P245" s="67"/>
      <c r="W245" s="46"/>
    </row>
    <row r="246" spans="2:23">
      <c r="B246" s="3" t="s">
        <v>131</v>
      </c>
      <c r="C246" s="14">
        <v>-386</v>
      </c>
      <c r="D246" s="14">
        <v>-716</v>
      </c>
      <c r="E246" s="14">
        <v>-1015</v>
      </c>
      <c r="F246" s="14">
        <v>-1816</v>
      </c>
      <c r="G246" s="14">
        <v>154</v>
      </c>
      <c r="H246" s="14">
        <v>-846</v>
      </c>
      <c r="I246" s="14">
        <v>-1009</v>
      </c>
      <c r="J246" s="14">
        <v>-1369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0</v>
      </c>
      <c r="D248" s="14">
        <v>0</v>
      </c>
      <c r="E248" s="14">
        <v>0</v>
      </c>
      <c r="F248" s="14">
        <v>-1373</v>
      </c>
      <c r="G248" s="14">
        <v>0</v>
      </c>
      <c r="H248" s="14">
        <v>0</v>
      </c>
      <c r="I248" s="14">
        <v>0</v>
      </c>
      <c r="J248" s="14">
        <v>-1247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-134</v>
      </c>
      <c r="D250" s="14">
        <v>-338</v>
      </c>
      <c r="E250" s="14">
        <v>-182</v>
      </c>
      <c r="F250" s="14">
        <v>-84</v>
      </c>
      <c r="G250" s="14">
        <v>-64</v>
      </c>
      <c r="H250" s="14">
        <v>80</v>
      </c>
      <c r="I250" s="14">
        <v>362</v>
      </c>
      <c r="J250" s="14">
        <v>573</v>
      </c>
    </row>
    <row r="251" spans="2:23">
      <c r="B251" s="3" t="s">
        <v>136</v>
      </c>
      <c r="C251" s="14">
        <v>58</v>
      </c>
      <c r="D251" s="14">
        <v>221</v>
      </c>
      <c r="E251" s="14">
        <v>-44</v>
      </c>
      <c r="F251" s="14">
        <v>1410</v>
      </c>
      <c r="G251" s="14">
        <v>136</v>
      </c>
      <c r="H251" s="14">
        <v>-140</v>
      </c>
      <c r="I251" s="14">
        <v>-64</v>
      </c>
      <c r="J251" s="14">
        <v>1315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-101</v>
      </c>
      <c r="D255" s="14">
        <v>30</v>
      </c>
      <c r="E255" s="14">
        <v>31</v>
      </c>
      <c r="F255" s="14">
        <v>388</v>
      </c>
      <c r="G255" s="14">
        <v>-48</v>
      </c>
      <c r="H255" s="14">
        <v>54</v>
      </c>
      <c r="I255" s="14">
        <v>-41</v>
      </c>
      <c r="J255" s="14">
        <v>-151</v>
      </c>
      <c r="P255" s="67"/>
      <c r="W255" s="46"/>
    </row>
    <row r="256" spans="2:23">
      <c r="B256" s="3" t="s">
        <v>141</v>
      </c>
      <c r="C256" s="14">
        <v>-177</v>
      </c>
      <c r="D256" s="14">
        <v>-88</v>
      </c>
      <c r="E256" s="14">
        <v>-195</v>
      </c>
      <c r="F256" s="14">
        <v>340</v>
      </c>
      <c r="G256" s="14">
        <v>23</v>
      </c>
      <c r="H256" s="14">
        <v>-6</v>
      </c>
      <c r="I256" s="14">
        <v>257</v>
      </c>
      <c r="J256" s="14">
        <v>490</v>
      </c>
    </row>
    <row r="257" spans="2:23">
      <c r="B257" s="3" t="s">
        <v>142</v>
      </c>
      <c r="C257" s="14">
        <v>398</v>
      </c>
      <c r="D257" s="14">
        <v>-101</v>
      </c>
      <c r="E257" s="14">
        <v>-141</v>
      </c>
      <c r="F257" s="14">
        <v>362</v>
      </c>
      <c r="G257" s="14">
        <v>155</v>
      </c>
      <c r="H257" s="14">
        <v>-194</v>
      </c>
      <c r="I257" s="14">
        <v>172</v>
      </c>
      <c r="J257" s="14">
        <v>51</v>
      </c>
      <c r="P257" s="67"/>
      <c r="W257" s="46"/>
    </row>
    <row r="258" spans="2:23">
      <c r="B258" s="3" t="s">
        <v>143</v>
      </c>
      <c r="C258" s="14">
        <v>1831</v>
      </c>
      <c r="D258" s="14">
        <v>-106</v>
      </c>
      <c r="E258" s="14">
        <v>-127</v>
      </c>
      <c r="F258" s="14">
        <v>83</v>
      </c>
      <c r="G258" s="14">
        <v>1617</v>
      </c>
      <c r="H258" s="14">
        <v>257</v>
      </c>
      <c r="I258" s="14">
        <v>-205</v>
      </c>
      <c r="J258" s="14">
        <v>-139</v>
      </c>
    </row>
    <row r="259" spans="2:23">
      <c r="B259" s="3" t="s">
        <v>144</v>
      </c>
      <c r="C259" s="14">
        <v>12046</v>
      </c>
      <c r="D259" s="14">
        <v>12153</v>
      </c>
      <c r="E259" s="14">
        <v>12280</v>
      </c>
      <c r="F259" s="14">
        <v>12197</v>
      </c>
      <c r="G259" s="14">
        <v>10580</v>
      </c>
      <c r="H259" s="14">
        <v>10323</v>
      </c>
      <c r="I259" s="14">
        <v>10528</v>
      </c>
      <c r="J259" s="14">
        <v>10667</v>
      </c>
      <c r="P259" s="67"/>
      <c r="W259" s="46"/>
    </row>
    <row r="260" spans="2:23">
      <c r="B260" s="3" t="s">
        <v>145</v>
      </c>
      <c r="C260" s="14">
        <v>13877</v>
      </c>
      <c r="D260" s="14">
        <v>12046</v>
      </c>
      <c r="E260" s="14">
        <v>12153</v>
      </c>
      <c r="F260" s="14">
        <v>12280</v>
      </c>
      <c r="G260" s="14">
        <v>12197</v>
      </c>
      <c r="H260" s="14">
        <v>10580</v>
      </c>
      <c r="I260" s="14">
        <v>10323</v>
      </c>
      <c r="J260" s="14">
        <v>10528</v>
      </c>
    </row>
    <row r="261" spans="2:23">
      <c r="B261" s="3" t="s">
        <v>146</v>
      </c>
      <c r="C261" s="14">
        <v>39</v>
      </c>
      <c r="D261" s="14">
        <v>50</v>
      </c>
      <c r="E261" s="14">
        <v>44</v>
      </c>
      <c r="F261" s="14">
        <v>47</v>
      </c>
      <c r="G261" s="14">
        <v>41</v>
      </c>
      <c r="H261" s="14">
        <v>40</v>
      </c>
      <c r="I261" s="14">
        <v>42</v>
      </c>
      <c r="J261" s="14">
        <v>75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  <mergeCell ref="X49:X50"/>
    <mergeCell ref="F34:I34"/>
    <mergeCell ref="F20:I20"/>
    <mergeCell ref="F22:I22"/>
    <mergeCell ref="F28:I28"/>
    <mergeCell ref="F30:I30"/>
    <mergeCell ref="F32:I32"/>
    <mergeCell ref="O49:O50"/>
    <mergeCell ref="P49:P50"/>
    <mergeCell ref="Q49:Q50"/>
    <mergeCell ref="R49:R50"/>
    <mergeCell ref="S49:S50"/>
    <mergeCell ref="O55:Y55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</mergeCells>
  <phoneticPr fontId="2" type="noConversion"/>
  <hyperlinks>
    <hyperlink ref="N51" r:id="rId1" display="https://tw.stock.yahoo.com/q/bc?s=2106"/>
    <hyperlink ref="N52" r:id="rId2" display="https://tw.stock.yahoo.com/pf/pfsel?stocklist=2106;"/>
    <hyperlink ref="N54" r:id="rId3" display="https://tw.stock.yahoo.com/pf/pfsel?stocklist=2106;"/>
    <hyperlink ref="Y51" r:id="rId4" display="https://tw.stock.yahoo.com/q/ts?s=2106"/>
    <hyperlink ref="Y54" r:id="rId5" display="https://tw.rd.yahoo.com/referurl/stock/other/SIG=125v47s73/**https:/tw.screener.finance.yahoo.net/screener/check.html?symid=2106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68" r:id="rId10" name="CommandButton30"/>
    <control shapeId="1066" r:id="rId11" name="CommandButton29"/>
    <control shapeId="1065" r:id="rId12" name="CommandButton28"/>
    <control shapeId="1063" r:id="rId13" name="CommandButton27"/>
    <control shapeId="1061" r:id="rId14" name="CommandButton26"/>
    <control shapeId="1055" r:id="rId15" name="CommandButton21"/>
    <control shapeId="1054" r:id="rId16" name="CommandButton20"/>
    <control shapeId="1053" r:id="rId17" name="CommandButton19"/>
    <control shapeId="1051" r:id="rId18" name="CommandButton17"/>
    <control shapeId="1050" r:id="rId19" name="CommandButton16"/>
    <control shapeId="1049" r:id="rId20" name="CommandButton15"/>
    <control shapeId="1047" r:id="rId21" name="CommandButton14"/>
    <control shapeId="1045" r:id="rId22" name="CommandButton13"/>
    <control shapeId="1044" r:id="rId23" name="CommandButton12"/>
    <control shapeId="1042" r:id="rId24" name="CommandButton11"/>
    <control shapeId="1034" r:id="rId25" name="CommandButton0"/>
    <control shapeId="1033" r:id="rId26" name="CommandButton9"/>
    <control shapeId="1032" r:id="rId27" name="CommandButton8"/>
    <control shapeId="1031" r:id="rId28" name="CommandButton7"/>
    <control shapeId="1030" r:id="rId29" name="CommandButton6"/>
    <control shapeId="1029" r:id="rId30" name="CommandButton5"/>
    <control shapeId="1028" r:id="rId31" name="CommandButton4"/>
    <control shapeId="1027" r:id="rId32" name="CommandButton2"/>
    <control shapeId="1026" r:id="rId33" name="CommandButton1"/>
    <control shapeId="1025" r:id="rId34" name="ComboBox1"/>
    <control shapeId="1040" r:id="rId35" name="CommandButton3"/>
    <control shapeId="1056" r:id="rId36" name="CommandButton10"/>
    <control shapeId="1057" r:id="rId37" name="CommandButton22"/>
    <control shapeId="1058" r:id="rId38" name="CommandButton23"/>
    <control shapeId="1059" r:id="rId39" name="CommandButton24"/>
    <control shapeId="1060" r:id="rId40" name="CommandButton25"/>
    <control shapeId="1070" r:id="rId41" name="CommandButton3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"/>
  <sheetViews>
    <sheetView topLeftCell="A4"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評比系統"/>
  <dimension ref="A1:W737"/>
  <sheetViews>
    <sheetView zoomScaleNormal="100" workbookViewId="0">
      <pane xSplit="13" ySplit="3" topLeftCell="N4" activePane="bottomRight" state="frozen"/>
      <selection pane="topRight" activeCell="N1" sqref="N1"/>
      <selection pane="bottomLeft" activeCell="A4" sqref="A4"/>
      <selection pane="bottomRight" activeCell="E237" sqref="E237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65">
        <f ca="1">NOW()</f>
        <v>42400.957916782405</v>
      </c>
      <c r="B1" s="366"/>
      <c r="C1" s="377" t="s">
        <v>1956</v>
      </c>
      <c r="D1" s="378"/>
      <c r="E1" s="378"/>
      <c r="F1" s="378"/>
      <c r="G1" s="379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67" t="s">
        <v>38</v>
      </c>
      <c r="B2" s="368"/>
      <c r="C2" s="369" t="s">
        <v>250</v>
      </c>
      <c r="D2" s="370"/>
      <c r="E2" s="370"/>
      <c r="F2" s="370"/>
      <c r="G2" s="371"/>
      <c r="H2" s="374" t="s">
        <v>253</v>
      </c>
      <c r="I2" s="375"/>
      <c r="J2" s="375"/>
      <c r="K2" s="375"/>
      <c r="L2" s="375"/>
      <c r="M2" s="376"/>
      <c r="N2" s="257" t="s">
        <v>1901</v>
      </c>
      <c r="O2" s="372" t="s">
        <v>1924</v>
      </c>
      <c r="P2" s="372"/>
      <c r="Q2" s="372"/>
      <c r="R2" s="372"/>
      <c r="S2" s="373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 s="317" customFormat="1">
      <c r="A4" s="309" t="str">
        <f>HYPERLINK("http://www.wantgoo.com/stock/chart.aspx?stockno=3474","3474")</f>
        <v>3474</v>
      </c>
      <c r="B4" s="310"/>
      <c r="C4" s="311">
        <f>VLOOKUP(3474,季財報!A:H,3)</f>
        <v>0</v>
      </c>
      <c r="D4" s="311">
        <f>VLOOKUP(3474,季財報!A:H,4)</f>
        <v>1</v>
      </c>
      <c r="E4" s="311">
        <f>VLOOKUP(3474,季財報!A:H,5)</f>
        <v>1</v>
      </c>
      <c r="F4" s="311">
        <f>VLOOKUP(3474,季財報!A:H,6)</f>
        <v>1</v>
      </c>
      <c r="G4" s="311">
        <f>VLOOKUP(3474,季財報!A:H,7)</f>
        <v>0</v>
      </c>
      <c r="H4" s="312"/>
      <c r="I4" s="312"/>
      <c r="J4" s="312"/>
      <c r="K4" s="312"/>
      <c r="L4" s="312"/>
      <c r="M4" s="313"/>
      <c r="N4" s="312">
        <f t="shared" ref="N4:N67" si="0">SUM(C4:M4)</f>
        <v>3</v>
      </c>
      <c r="O4" s="314"/>
      <c r="P4" s="314"/>
      <c r="Q4" s="314"/>
      <c r="R4" s="314"/>
      <c r="S4" s="315"/>
      <c r="T4" s="316"/>
    </row>
    <row r="5" spans="1:23" s="317" customFormat="1">
      <c r="A5" s="309" t="str">
        <f>HYPERLINK("http://www.wantgoo.com/stock/chart.aspx?stockno=2408","2408")</f>
        <v>2408</v>
      </c>
      <c r="B5" s="310"/>
      <c r="C5" s="311">
        <f>VLOOKUP(2408,季財報!A:H,3)</f>
        <v>0</v>
      </c>
      <c r="D5" s="311">
        <f>VLOOKUP(2408,季財報!A:H,4)</f>
        <v>1</v>
      </c>
      <c r="E5" s="311">
        <f>VLOOKUP(2408,季財報!A:H,5)</f>
        <v>0</v>
      </c>
      <c r="F5" s="311">
        <f>VLOOKUP(2408,季財報!A:H,6)</f>
        <v>1</v>
      </c>
      <c r="G5" s="311">
        <f>VLOOKUP(2408,季財報!A:H,7)</f>
        <v>0</v>
      </c>
      <c r="H5" s="312"/>
      <c r="I5" s="312"/>
      <c r="J5" s="312"/>
      <c r="K5" s="312"/>
      <c r="L5" s="312"/>
      <c r="M5" s="313"/>
      <c r="N5" s="312">
        <f t="shared" si="0"/>
        <v>2</v>
      </c>
      <c r="O5" s="314"/>
      <c r="P5" s="314"/>
      <c r="Q5" s="314"/>
      <c r="R5" s="314"/>
      <c r="S5" s="315"/>
      <c r="T5" s="316"/>
    </row>
    <row r="6" spans="1:23" s="317" customFormat="1">
      <c r="A6" s="309" t="str">
        <f>HYPERLINK("http://www.wantgoo.com/stock/chart.aspx?stockno=1704","1704")</f>
        <v>1704</v>
      </c>
      <c r="B6" s="310"/>
      <c r="C6" s="311">
        <f>VLOOKUP(1704,季財報!A:H,3)</f>
        <v>1</v>
      </c>
      <c r="D6" s="311">
        <f>VLOOKUP(1704,季財報!A:H,4)</f>
        <v>1</v>
      </c>
      <c r="E6" s="311">
        <f>VLOOKUP(1704,季財報!A:H,5)</f>
        <v>2</v>
      </c>
      <c r="F6" s="311">
        <f>VLOOKUP(1704,季財報!A:H,6)</f>
        <v>0</v>
      </c>
      <c r="G6" s="311">
        <f>VLOOKUP(1704,季財報!A:H,7)</f>
        <v>0</v>
      </c>
      <c r="H6" s="312"/>
      <c r="I6" s="312"/>
      <c r="J6" s="312"/>
      <c r="K6" s="312"/>
      <c r="L6" s="312"/>
      <c r="M6" s="313"/>
      <c r="N6" s="312">
        <f t="shared" si="0"/>
        <v>4</v>
      </c>
      <c r="O6" s="314"/>
      <c r="P6" s="314"/>
      <c r="Q6" s="314"/>
      <c r="R6" s="314"/>
      <c r="S6" s="315"/>
      <c r="T6" s="316"/>
    </row>
    <row r="7" spans="1:23" s="317" customFormat="1">
      <c r="A7" s="309" t="str">
        <f>HYPERLINK("http://www.wantgoo.com/stock/chart.aspx?stockno=6114","6114")</f>
        <v>6114</v>
      </c>
      <c r="B7" s="310"/>
      <c r="C7" s="311">
        <f>VLOOKUP(6114,季財報!A:H,3)</f>
        <v>0</v>
      </c>
      <c r="D7" s="311">
        <f>VLOOKUP(6114,季財報!A:H,4)</f>
        <v>1</v>
      </c>
      <c r="E7" s="311">
        <f>VLOOKUP(6114,季財報!A:H,5)</f>
        <v>0</v>
      </c>
      <c r="F7" s="311">
        <f>VLOOKUP(6114,季財報!A:H,6)</f>
        <v>1</v>
      </c>
      <c r="G7" s="311">
        <f>VLOOKUP(6114,季財報!A:H,7)</f>
        <v>0</v>
      </c>
      <c r="H7" s="312"/>
      <c r="I7" s="312"/>
      <c r="J7" s="312"/>
      <c r="K7" s="312"/>
      <c r="L7" s="312"/>
      <c r="M7" s="313"/>
      <c r="N7" s="312">
        <f t="shared" si="0"/>
        <v>2</v>
      </c>
      <c r="O7" s="314"/>
      <c r="P7" s="314"/>
      <c r="Q7" s="314"/>
      <c r="R7" s="314"/>
      <c r="S7" s="315"/>
      <c r="T7" s="316"/>
    </row>
    <row r="8" spans="1:23" s="317" customFormat="1">
      <c r="A8" s="309" t="str">
        <f>HYPERLINK("http://www.wantgoo.com/stock/chart.aspx?stockno=6105","6105")</f>
        <v>6105</v>
      </c>
      <c r="B8" s="310"/>
      <c r="C8" s="311">
        <f>VLOOKUP(6105,季財報!A:H,3)</f>
        <v>0</v>
      </c>
      <c r="D8" s="311">
        <f>VLOOKUP(6105,季財報!A:H,4)</f>
        <v>1</v>
      </c>
      <c r="E8" s="311">
        <f>VLOOKUP(6105,季財報!A:H,5)</f>
        <v>0</v>
      </c>
      <c r="F8" s="311">
        <f>VLOOKUP(6105,季財報!A:H,6)</f>
        <v>1</v>
      </c>
      <c r="G8" s="311">
        <f>VLOOKUP(6105,季財報!A:H,7)</f>
        <v>0</v>
      </c>
      <c r="H8" s="312"/>
      <c r="I8" s="312"/>
      <c r="J8" s="312"/>
      <c r="K8" s="312"/>
      <c r="L8" s="312"/>
      <c r="M8" s="313"/>
      <c r="N8" s="312">
        <f t="shared" si="0"/>
        <v>2</v>
      </c>
      <c r="O8" s="314"/>
      <c r="P8" s="314"/>
      <c r="Q8" s="314"/>
      <c r="R8" s="314"/>
      <c r="S8" s="315"/>
      <c r="T8" s="316"/>
    </row>
    <row r="9" spans="1:23" s="317" customFormat="1">
      <c r="A9" s="309" t="str">
        <f>HYPERLINK("http://www.wantgoo.com/stock/chart.aspx?stockno=9943","9943")</f>
        <v>9943</v>
      </c>
      <c r="B9" s="310"/>
      <c r="C9" s="311">
        <f>VLOOKUP(9943,季財報!A:H,3)</f>
        <v>0</v>
      </c>
      <c r="D9" s="311">
        <f>VLOOKUP(9943,季財報!A:H,4)</f>
        <v>1</v>
      </c>
      <c r="E9" s="311">
        <f>VLOOKUP(9943,季財報!A:H,5)</f>
        <v>0</v>
      </c>
      <c r="F9" s="311">
        <f>VLOOKUP(9943,季財報!A:H,6)</f>
        <v>1</v>
      </c>
      <c r="G9" s="311">
        <f>VLOOKUP(9943,季財報!A:H,7)</f>
        <v>0</v>
      </c>
      <c r="H9" s="312"/>
      <c r="I9" s="312"/>
      <c r="J9" s="312"/>
      <c r="K9" s="312"/>
      <c r="L9" s="312"/>
      <c r="M9" s="313"/>
      <c r="N9" s="312">
        <f t="shared" si="0"/>
        <v>2</v>
      </c>
      <c r="O9" s="314"/>
      <c r="P9" s="314"/>
      <c r="Q9" s="314"/>
      <c r="R9" s="314"/>
      <c r="S9" s="315"/>
      <c r="T9" s="316"/>
    </row>
    <row r="10" spans="1:23" s="317" customFormat="1">
      <c r="A10" s="309" t="str">
        <f>HYPERLINK("http://www.wantgoo.com/stock/chart.aspx?stockno=6210","6210")</f>
        <v>6210</v>
      </c>
      <c r="B10" s="310"/>
      <c r="C10" s="311">
        <f>VLOOKUP(6210,季財報!A:H,3)</f>
        <v>0</v>
      </c>
      <c r="D10" s="311">
        <f>VLOOKUP(6210,季財報!A:H,4)</f>
        <v>1</v>
      </c>
      <c r="E10" s="311">
        <f>VLOOKUP(6210,季財報!A:H,5)</f>
        <v>0</v>
      </c>
      <c r="F10" s="311">
        <f>VLOOKUP(6210,季財報!A:H,6)</f>
        <v>1</v>
      </c>
      <c r="G10" s="311">
        <f>VLOOKUP(6210,季財報!A:H,7)</f>
        <v>0</v>
      </c>
      <c r="H10" s="312"/>
      <c r="I10" s="312"/>
      <c r="J10" s="312"/>
      <c r="K10" s="312"/>
      <c r="L10" s="312"/>
      <c r="M10" s="313"/>
      <c r="N10" s="312">
        <f t="shared" si="0"/>
        <v>2</v>
      </c>
      <c r="O10" s="314"/>
      <c r="P10" s="314"/>
      <c r="Q10" s="314"/>
      <c r="R10" s="314"/>
      <c r="S10" s="315"/>
      <c r="T10" s="316"/>
    </row>
    <row r="11" spans="1:23" s="317" customFormat="1">
      <c r="A11" s="309" t="str">
        <f>HYPERLINK("http://www.wantgoo.com/stock/chart.aspx?stockno=3490","3490")</f>
        <v>3490</v>
      </c>
      <c r="B11" s="310"/>
      <c r="C11" s="311">
        <f>VLOOKUP(3490,季財報!A:H,3)</f>
        <v>0</v>
      </c>
      <c r="D11" s="311">
        <f>VLOOKUP(3490,季財報!A:H,4)</f>
        <v>0</v>
      </c>
      <c r="E11" s="311">
        <f>VLOOKUP(3490,季財報!A:H,5)</f>
        <v>0</v>
      </c>
      <c r="F11" s="311">
        <f>VLOOKUP(3490,季財報!A:H,6)</f>
        <v>1</v>
      </c>
      <c r="G11" s="311">
        <f>VLOOKUP(3490,季財報!A:H,7)</f>
        <v>0</v>
      </c>
      <c r="H11" s="312"/>
      <c r="I11" s="312"/>
      <c r="J11" s="312"/>
      <c r="K11" s="312"/>
      <c r="L11" s="312"/>
      <c r="M11" s="313"/>
      <c r="N11" s="312">
        <f t="shared" si="0"/>
        <v>1</v>
      </c>
      <c r="O11" s="314"/>
      <c r="P11" s="314"/>
      <c r="Q11" s="314"/>
      <c r="R11" s="314"/>
      <c r="S11" s="315"/>
      <c r="T11" s="316"/>
    </row>
    <row r="12" spans="1:23" s="317" customFormat="1">
      <c r="A12" s="309" t="str">
        <f>HYPERLINK("http://www.wantgoo.com/stock/chart.aspx?stockno=1464","1464")</f>
        <v>1464</v>
      </c>
      <c r="B12" s="310"/>
      <c r="C12" s="311">
        <f>VLOOKUP(1464,季財報!A:H,3)</f>
        <v>0</v>
      </c>
      <c r="D12" s="311">
        <f>VLOOKUP(1464,季財報!A:H,4)</f>
        <v>1</v>
      </c>
      <c r="E12" s="311">
        <f>VLOOKUP(1464,季財報!A:H,5)</f>
        <v>0</v>
      </c>
      <c r="F12" s="311">
        <f>VLOOKUP(1464,季財報!A:H,6)</f>
        <v>0</v>
      </c>
      <c r="G12" s="311">
        <f>VLOOKUP(1464,季財報!A:H,7)</f>
        <v>0</v>
      </c>
      <c r="H12" s="312"/>
      <c r="I12" s="312"/>
      <c r="J12" s="312"/>
      <c r="K12" s="312"/>
      <c r="L12" s="312"/>
      <c r="M12" s="313"/>
      <c r="N12" s="312">
        <f t="shared" si="0"/>
        <v>1</v>
      </c>
      <c r="O12" s="314"/>
      <c r="P12" s="314"/>
      <c r="Q12" s="314"/>
      <c r="R12" s="314"/>
      <c r="S12" s="315"/>
      <c r="T12" s="316"/>
    </row>
    <row r="13" spans="1:23" s="317" customFormat="1">
      <c r="A13" s="309" t="str">
        <f>HYPERLINK("http://www.wantgoo.com/stock/chart.aspx?stockno=1340","1340")</f>
        <v>1340</v>
      </c>
      <c r="B13" s="310"/>
      <c r="C13" s="311">
        <f>VLOOKUP(1340,季財報!A:H,3)</f>
        <v>0</v>
      </c>
      <c r="D13" s="311">
        <f>VLOOKUP(1340,季財報!A:H,4)</f>
        <v>1</v>
      </c>
      <c r="E13" s="311">
        <f>VLOOKUP(1340,季財報!A:H,5)</f>
        <v>0</v>
      </c>
      <c r="F13" s="311">
        <f>VLOOKUP(1340,季財報!A:H,6)</f>
        <v>1</v>
      </c>
      <c r="G13" s="311">
        <f>VLOOKUP(1340,季財報!A:H,7)</f>
        <v>0</v>
      </c>
      <c r="H13" s="312"/>
      <c r="I13" s="312"/>
      <c r="J13" s="312"/>
      <c r="K13" s="312"/>
      <c r="L13" s="312"/>
      <c r="M13" s="313"/>
      <c r="N13" s="312">
        <f t="shared" si="0"/>
        <v>2</v>
      </c>
      <c r="O13" s="314"/>
      <c r="P13" s="314"/>
      <c r="Q13" s="314"/>
      <c r="R13" s="314"/>
      <c r="S13" s="315"/>
      <c r="T13" s="316"/>
    </row>
    <row r="14" spans="1:23" s="317" customFormat="1">
      <c r="A14" s="309" t="str">
        <f>HYPERLINK("http://www.wantgoo.com/stock/chart.aspx?stockno=5523","5523")</f>
        <v>5523</v>
      </c>
      <c r="B14" s="310"/>
      <c r="C14" s="311">
        <f>VLOOKUP(5523,季財報!A:H,3)</f>
        <v>0</v>
      </c>
      <c r="D14" s="311">
        <f>VLOOKUP(5523,季財報!A:H,4)</f>
        <v>0</v>
      </c>
      <c r="E14" s="311">
        <f>VLOOKUP(5523,季財報!A:H,5)</f>
        <v>0</v>
      </c>
      <c r="F14" s="311">
        <f>VLOOKUP(5523,季財報!A:H,6)</f>
        <v>0</v>
      </c>
      <c r="G14" s="311">
        <f>VLOOKUP(5523,季財報!A:H,7)</f>
        <v>0</v>
      </c>
      <c r="H14" s="312"/>
      <c r="I14" s="312"/>
      <c r="J14" s="312"/>
      <c r="K14" s="312"/>
      <c r="L14" s="312"/>
      <c r="M14" s="313"/>
      <c r="N14" s="312">
        <f t="shared" si="0"/>
        <v>0</v>
      </c>
      <c r="O14" s="314"/>
      <c r="P14" s="314"/>
      <c r="Q14" s="314"/>
      <c r="R14" s="314"/>
      <c r="S14" s="315"/>
      <c r="T14" s="316"/>
    </row>
    <row r="15" spans="1:23" s="317" customFormat="1">
      <c r="A15" s="309" t="str">
        <f>HYPERLINK("http://www.wantgoo.com/stock/chart.aspx?stockno=3564","3564")</f>
        <v>3564</v>
      </c>
      <c r="B15" s="310"/>
      <c r="C15" s="311">
        <f>VLOOKUP(3564,季財報!A:H,3)</f>
        <v>0</v>
      </c>
      <c r="D15" s="311">
        <f>VLOOKUP(3564,季財報!A:H,4)</f>
        <v>1</v>
      </c>
      <c r="E15" s="311">
        <f>VLOOKUP(3564,季財報!A:H,5)</f>
        <v>0</v>
      </c>
      <c r="F15" s="311">
        <f>VLOOKUP(3564,季財報!A:H,6)</f>
        <v>1</v>
      </c>
      <c r="G15" s="311">
        <f>VLOOKUP(3564,季財報!A:H,7)</f>
        <v>1</v>
      </c>
      <c r="H15" s="312"/>
      <c r="I15" s="312"/>
      <c r="J15" s="312"/>
      <c r="K15" s="312"/>
      <c r="L15" s="312"/>
      <c r="M15" s="313"/>
      <c r="N15" s="312">
        <f t="shared" si="0"/>
        <v>3</v>
      </c>
      <c r="O15" s="314"/>
      <c r="P15" s="314"/>
      <c r="Q15" s="314"/>
      <c r="R15" s="314"/>
      <c r="S15" s="315"/>
      <c r="T15" s="316"/>
    </row>
    <row r="16" spans="1:23" s="317" customFormat="1">
      <c r="A16" s="309" t="str">
        <f>HYPERLINK("http://www.wantgoo.com/stock/chart.aspx?stockno=4416","4416")</f>
        <v>4416</v>
      </c>
      <c r="B16" s="310"/>
      <c r="C16" s="311">
        <f>VLOOKUP(4416,季財報!A:H,3)</f>
        <v>0</v>
      </c>
      <c r="D16" s="311">
        <f>VLOOKUP(4416,季財報!A:H,4)</f>
        <v>0</v>
      </c>
      <c r="E16" s="311">
        <f>VLOOKUP(4416,季財報!A:H,5)</f>
        <v>0</v>
      </c>
      <c r="F16" s="311">
        <f>VLOOKUP(4416,季財報!A:H,6)</f>
        <v>0</v>
      </c>
      <c r="G16" s="311">
        <f>VLOOKUP(4416,季財報!A:H,7)</f>
        <v>0</v>
      </c>
      <c r="H16" s="312"/>
      <c r="I16" s="312"/>
      <c r="J16" s="312"/>
      <c r="K16" s="312"/>
      <c r="L16" s="312"/>
      <c r="M16" s="313"/>
      <c r="N16" s="312">
        <f t="shared" si="0"/>
        <v>0</v>
      </c>
      <c r="O16" s="314"/>
      <c r="P16" s="314"/>
      <c r="Q16" s="314"/>
      <c r="R16" s="314"/>
      <c r="S16" s="315"/>
      <c r="T16" s="316"/>
    </row>
    <row r="17" spans="1:20" s="317" customFormat="1">
      <c r="A17" s="309" t="str">
        <f>HYPERLINK("http://www.wantgoo.com/stock/chart.aspx?stockno=6269","6269")</f>
        <v>6269</v>
      </c>
      <c r="B17" s="310"/>
      <c r="C17" s="311">
        <f>VLOOKUP(6269,季財報!A:H,3)</f>
        <v>0</v>
      </c>
      <c r="D17" s="311">
        <f>VLOOKUP(6269,季財報!A:H,4)</f>
        <v>1</v>
      </c>
      <c r="E17" s="311">
        <f>VLOOKUP(6269,季財報!A:H,5)</f>
        <v>0</v>
      </c>
      <c r="F17" s="311">
        <f>VLOOKUP(6269,季財報!A:H,6)</f>
        <v>1</v>
      </c>
      <c r="G17" s="311">
        <f>VLOOKUP(6269,季財報!A:H,7)</f>
        <v>0</v>
      </c>
      <c r="H17" s="312"/>
      <c r="I17" s="312"/>
      <c r="J17" s="312"/>
      <c r="K17" s="312"/>
      <c r="L17" s="312"/>
      <c r="M17" s="313"/>
      <c r="N17" s="312">
        <f t="shared" si="0"/>
        <v>2</v>
      </c>
      <c r="O17" s="314"/>
      <c r="P17" s="314"/>
      <c r="Q17" s="314"/>
      <c r="R17" s="314"/>
      <c r="S17" s="315"/>
      <c r="T17" s="316"/>
    </row>
    <row r="18" spans="1:20" s="317" customFormat="1">
      <c r="A18" s="309" t="str">
        <f>HYPERLINK("http://www.wantgoo.com/stock/chart.aspx?stockno=8429","8429")</f>
        <v>8429</v>
      </c>
      <c r="B18" s="310"/>
      <c r="C18" s="311">
        <f>VLOOKUP(8429,季財報!A:H,3)</f>
        <v>0</v>
      </c>
      <c r="D18" s="311">
        <f>VLOOKUP(8429,季財報!A:H,4)</f>
        <v>0</v>
      </c>
      <c r="E18" s="311">
        <f>VLOOKUP(8429,季財報!A:H,5)</f>
        <v>0</v>
      </c>
      <c r="F18" s="311">
        <f>VLOOKUP(8429,季財報!A:H,6)</f>
        <v>1</v>
      </c>
      <c r="G18" s="311">
        <f>VLOOKUP(8429,季財報!A:H,7)</f>
        <v>0</v>
      </c>
      <c r="H18" s="312"/>
      <c r="I18" s="312"/>
      <c r="J18" s="312"/>
      <c r="K18" s="312"/>
      <c r="L18" s="312"/>
      <c r="M18" s="313"/>
      <c r="N18" s="312">
        <f t="shared" si="0"/>
        <v>1</v>
      </c>
      <c r="O18" s="314"/>
      <c r="P18" s="314"/>
      <c r="Q18" s="314"/>
      <c r="R18" s="314"/>
      <c r="S18" s="315"/>
      <c r="T18" s="316"/>
    </row>
    <row r="19" spans="1:20" s="317" customFormat="1">
      <c r="A19" s="309" t="str">
        <f>HYPERLINK("http://www.wantgoo.com/stock/chart.aspx?stockno=2383","2383")</f>
        <v>2383</v>
      </c>
      <c r="B19" s="310"/>
      <c r="C19" s="311">
        <f>VLOOKUP(2383,季財報!A:H,3)</f>
        <v>1</v>
      </c>
      <c r="D19" s="311">
        <f>VLOOKUP(2383,季財報!A:H,4)</f>
        <v>1</v>
      </c>
      <c r="E19" s="311">
        <f>VLOOKUP(2383,季財報!A:H,5)</f>
        <v>2</v>
      </c>
      <c r="F19" s="311">
        <f>VLOOKUP(2383,季財報!A:H,6)</f>
        <v>1</v>
      </c>
      <c r="G19" s="311">
        <f>VLOOKUP(2383,季財報!A:H,7)</f>
        <v>0</v>
      </c>
      <c r="H19" s="312"/>
      <c r="I19" s="312"/>
      <c r="J19" s="312"/>
      <c r="K19" s="312"/>
      <c r="L19" s="312"/>
      <c r="M19" s="313"/>
      <c r="N19" s="312">
        <f t="shared" si="0"/>
        <v>5</v>
      </c>
      <c r="O19" s="314"/>
      <c r="P19" s="314"/>
      <c r="Q19" s="314"/>
      <c r="R19" s="314"/>
      <c r="S19" s="315"/>
      <c r="T19" s="316"/>
    </row>
    <row r="20" spans="1:20" s="317" customFormat="1">
      <c r="A20" s="309" t="str">
        <f>HYPERLINK("http://www.wantgoo.com/stock/chart.aspx?stockno=5525","5525")</f>
        <v>5525</v>
      </c>
      <c r="B20" s="310"/>
      <c r="C20" s="311">
        <f>VLOOKUP(5525,季財報!A:H,3)</f>
        <v>0</v>
      </c>
      <c r="D20" s="311">
        <f>VLOOKUP(5525,季財報!A:H,4)</f>
        <v>1</v>
      </c>
      <c r="E20" s="311">
        <f>VLOOKUP(5525,季財報!A:H,5)</f>
        <v>0</v>
      </c>
      <c r="F20" s="311">
        <f>VLOOKUP(5525,季財報!A:H,6)</f>
        <v>0</v>
      </c>
      <c r="G20" s="311">
        <f>VLOOKUP(5525,季財報!A:H,7)</f>
        <v>0</v>
      </c>
      <c r="H20" s="312"/>
      <c r="I20" s="312"/>
      <c r="J20" s="312"/>
      <c r="K20" s="312"/>
      <c r="L20" s="312"/>
      <c r="M20" s="313"/>
      <c r="N20" s="312">
        <f t="shared" si="0"/>
        <v>1</v>
      </c>
      <c r="O20" s="314"/>
      <c r="P20" s="314"/>
      <c r="Q20" s="314"/>
      <c r="R20" s="314"/>
      <c r="S20" s="315"/>
      <c r="T20" s="316"/>
    </row>
    <row r="21" spans="1:20" s="317" customFormat="1">
      <c r="A21" s="309" t="str">
        <f>HYPERLINK("http://www.wantgoo.com/stock/chart.aspx?stockno=4999","4999")</f>
        <v>4999</v>
      </c>
      <c r="B21" s="310"/>
      <c r="C21" s="311">
        <f>VLOOKUP(4999,季財報!A:H,3)</f>
        <v>0</v>
      </c>
      <c r="D21" s="311">
        <f>VLOOKUP(4999,季財報!A:H,4)</f>
        <v>1</v>
      </c>
      <c r="E21" s="311">
        <f>VLOOKUP(4999,季財報!A:H,5)</f>
        <v>2</v>
      </c>
      <c r="F21" s="311">
        <f>VLOOKUP(4999,季財報!A:H,6)</f>
        <v>1</v>
      </c>
      <c r="G21" s="311">
        <f>VLOOKUP(4999,季財報!A:H,7)</f>
        <v>0</v>
      </c>
      <c r="H21" s="312"/>
      <c r="I21" s="312"/>
      <c r="J21" s="312"/>
      <c r="K21" s="312"/>
      <c r="L21" s="312"/>
      <c r="M21" s="313"/>
      <c r="N21" s="312">
        <f t="shared" si="0"/>
        <v>4</v>
      </c>
      <c r="O21" s="314"/>
      <c r="P21" s="314"/>
      <c r="Q21" s="314"/>
      <c r="R21" s="314"/>
      <c r="S21" s="315"/>
      <c r="T21" s="316"/>
    </row>
    <row r="22" spans="1:20" s="317" customFormat="1">
      <c r="A22" s="309" t="str">
        <f>HYPERLINK("http://www.wantgoo.com/stock/chart.aspx?stockno=2548","2548")</f>
        <v>2548</v>
      </c>
      <c r="B22" s="310"/>
      <c r="C22" s="311">
        <f>VLOOKUP(2548,季財報!A:H,3)</f>
        <v>0</v>
      </c>
      <c r="D22" s="311">
        <f>VLOOKUP(2548,季財報!A:H,4)</f>
        <v>1</v>
      </c>
      <c r="E22" s="311">
        <f>VLOOKUP(2548,季財報!A:H,5)</f>
        <v>0</v>
      </c>
      <c r="F22" s="311">
        <f>VLOOKUP(2548,季財報!A:H,6)</f>
        <v>0</v>
      </c>
      <c r="G22" s="311">
        <f>VLOOKUP(2548,季財報!A:H,7)</f>
        <v>0</v>
      </c>
      <c r="H22" s="312"/>
      <c r="I22" s="312"/>
      <c r="J22" s="312"/>
      <c r="K22" s="312"/>
      <c r="L22" s="312"/>
      <c r="M22" s="313"/>
      <c r="N22" s="312">
        <f t="shared" si="0"/>
        <v>1</v>
      </c>
      <c r="O22" s="314"/>
      <c r="P22" s="314"/>
      <c r="Q22" s="314"/>
      <c r="R22" s="314"/>
      <c r="S22" s="315"/>
      <c r="T22" s="316"/>
    </row>
    <row r="23" spans="1:20" s="317" customFormat="1">
      <c r="A23" s="309" t="str">
        <f>HYPERLINK("http://www.wantgoo.com/stock/chart.aspx?stockno=5315","5315")</f>
        <v>5315</v>
      </c>
      <c r="B23" s="310"/>
      <c r="C23" s="311">
        <f>VLOOKUP(5315,季財報!A:H,3)</f>
        <v>1</v>
      </c>
      <c r="D23" s="311">
        <f>VLOOKUP(5315,季財報!A:H,4)</f>
        <v>1</v>
      </c>
      <c r="E23" s="311">
        <f>VLOOKUP(5315,季財報!A:H,5)</f>
        <v>0</v>
      </c>
      <c r="F23" s="311">
        <f>VLOOKUP(5315,季財報!A:H,6)</f>
        <v>1</v>
      </c>
      <c r="G23" s="311">
        <f>VLOOKUP(5315,季財報!A:H,7)</f>
        <v>0</v>
      </c>
      <c r="H23" s="312"/>
      <c r="I23" s="312"/>
      <c r="J23" s="312"/>
      <c r="K23" s="312"/>
      <c r="L23" s="312"/>
      <c r="M23" s="313"/>
      <c r="N23" s="312">
        <f t="shared" si="0"/>
        <v>3</v>
      </c>
      <c r="O23" s="314"/>
      <c r="P23" s="314"/>
      <c r="Q23" s="314"/>
      <c r="R23" s="314"/>
      <c r="S23" s="315"/>
      <c r="T23" s="316"/>
    </row>
    <row r="24" spans="1:20" s="317" customFormat="1">
      <c r="A24" s="309" t="str">
        <f>HYPERLINK("http://www.wantgoo.com/stock/chart.aspx?stockno=3056","3056")</f>
        <v>3056</v>
      </c>
      <c r="B24" s="310"/>
      <c r="C24" s="311">
        <f>VLOOKUP(3056,季財報!A:H,3)</f>
        <v>0</v>
      </c>
      <c r="D24" s="311">
        <f>VLOOKUP(3056,季財報!A:H,4)</f>
        <v>0</v>
      </c>
      <c r="E24" s="311">
        <f>VLOOKUP(3056,季財報!A:H,5)</f>
        <v>0</v>
      </c>
      <c r="F24" s="311">
        <f>VLOOKUP(3056,季財報!A:H,6)</f>
        <v>0</v>
      </c>
      <c r="G24" s="311">
        <f>VLOOKUP(3056,季財報!A:H,7)</f>
        <v>0</v>
      </c>
      <c r="H24" s="312"/>
      <c r="I24" s="312"/>
      <c r="J24" s="312"/>
      <c r="K24" s="312"/>
      <c r="L24" s="312"/>
      <c r="M24" s="313"/>
      <c r="N24" s="312">
        <f t="shared" si="0"/>
        <v>0</v>
      </c>
      <c r="O24" s="314"/>
      <c r="P24" s="314"/>
      <c r="Q24" s="314"/>
      <c r="R24" s="314"/>
      <c r="S24" s="315"/>
      <c r="T24" s="316"/>
    </row>
    <row r="25" spans="1:20" s="317" customFormat="1">
      <c r="A25" s="309" t="str">
        <f>HYPERLINK("http://www.wantgoo.com/stock/chart.aspx?stockno=3455","3455")</f>
        <v>3455</v>
      </c>
      <c r="B25" s="310"/>
      <c r="C25" s="311">
        <f>VLOOKUP(3455,季財報!A:H,3)</f>
        <v>0</v>
      </c>
      <c r="D25" s="311">
        <f>VLOOKUP(3455,季財報!A:H,4)</f>
        <v>1</v>
      </c>
      <c r="E25" s="311">
        <f>VLOOKUP(3455,季財報!A:H,5)</f>
        <v>0</v>
      </c>
      <c r="F25" s="311">
        <f>VLOOKUP(3455,季財報!A:H,6)</f>
        <v>1</v>
      </c>
      <c r="G25" s="311">
        <f>VLOOKUP(3455,季財報!A:H,7)</f>
        <v>0</v>
      </c>
      <c r="H25" s="312"/>
      <c r="I25" s="312"/>
      <c r="J25" s="312"/>
      <c r="K25" s="312"/>
      <c r="L25" s="312"/>
      <c r="M25" s="313"/>
      <c r="N25" s="312">
        <f t="shared" si="0"/>
        <v>2</v>
      </c>
      <c r="O25" s="314"/>
      <c r="P25" s="314"/>
      <c r="Q25" s="314"/>
      <c r="R25" s="314"/>
      <c r="S25" s="315"/>
      <c r="T25" s="316"/>
    </row>
    <row r="26" spans="1:20" s="317" customFormat="1">
      <c r="A26" s="309" t="str">
        <f>HYPERLINK("http://www.wantgoo.com/stock/chart.aspx?stockno=5289","5289")</f>
        <v>5289</v>
      </c>
      <c r="B26" s="310"/>
      <c r="C26" s="311">
        <f>VLOOKUP(5289,季財報!A:H,3)</f>
        <v>0</v>
      </c>
      <c r="D26" s="311">
        <f>VLOOKUP(5289,季財報!A:H,4)</f>
        <v>1</v>
      </c>
      <c r="E26" s="311">
        <f>VLOOKUP(5289,季財報!A:H,5)</f>
        <v>2</v>
      </c>
      <c r="F26" s="311">
        <f>VLOOKUP(5289,季財報!A:H,6)</f>
        <v>1</v>
      </c>
      <c r="G26" s="311">
        <f>VLOOKUP(5289,季財報!A:H,7)</f>
        <v>0</v>
      </c>
      <c r="H26" s="312"/>
      <c r="I26" s="312"/>
      <c r="J26" s="312"/>
      <c r="K26" s="312"/>
      <c r="L26" s="312"/>
      <c r="M26" s="313"/>
      <c r="N26" s="312">
        <f t="shared" si="0"/>
        <v>4</v>
      </c>
      <c r="O26" s="314"/>
      <c r="P26" s="314"/>
      <c r="Q26" s="314"/>
      <c r="R26" s="314"/>
      <c r="S26" s="315"/>
      <c r="T26" s="316"/>
    </row>
    <row r="27" spans="1:20" s="317" customFormat="1">
      <c r="A27" s="309" t="str">
        <f>HYPERLINK("http://www.wantgoo.com/stock/chart.aspx?stockno=8928","8928")</f>
        <v>8928</v>
      </c>
      <c r="B27" s="310"/>
      <c r="C27" s="311">
        <f>VLOOKUP(8928,季財報!A:H,3)</f>
        <v>0</v>
      </c>
      <c r="D27" s="311">
        <f>VLOOKUP(8928,季財報!A:H,4)</f>
        <v>1</v>
      </c>
      <c r="E27" s="311">
        <f>VLOOKUP(8928,季財報!A:H,5)</f>
        <v>2</v>
      </c>
      <c r="F27" s="311">
        <f>VLOOKUP(8928,季財報!A:H,6)</f>
        <v>0</v>
      </c>
      <c r="G27" s="311">
        <f>VLOOKUP(8928,季財報!A:H,7)</f>
        <v>0</v>
      </c>
      <c r="H27" s="312"/>
      <c r="I27" s="312"/>
      <c r="J27" s="312"/>
      <c r="K27" s="312"/>
      <c r="L27" s="312"/>
      <c r="M27" s="313"/>
      <c r="N27" s="312">
        <f t="shared" si="0"/>
        <v>3</v>
      </c>
      <c r="O27" s="314"/>
      <c r="P27" s="314"/>
      <c r="Q27" s="314"/>
      <c r="R27" s="314"/>
      <c r="S27" s="315"/>
      <c r="T27" s="316"/>
    </row>
    <row r="28" spans="1:20" s="317" customFormat="1">
      <c r="A28" s="309" t="str">
        <f>HYPERLINK("http://www.wantgoo.com/stock/chart.aspx?stockno=5474","5474")</f>
        <v>5474</v>
      </c>
      <c r="B28" s="310"/>
      <c r="C28" s="311">
        <f>VLOOKUP(5474,季財報!A:H,3)</f>
        <v>1</v>
      </c>
      <c r="D28" s="311">
        <f>VLOOKUP(5474,季財報!A:H,4)</f>
        <v>1</v>
      </c>
      <c r="E28" s="311">
        <f>VLOOKUP(5474,季財報!A:H,5)</f>
        <v>1</v>
      </c>
      <c r="F28" s="311">
        <f>VLOOKUP(5474,季財報!A:H,6)</f>
        <v>1</v>
      </c>
      <c r="G28" s="311">
        <f>VLOOKUP(5474,季財報!A:H,7)</f>
        <v>0</v>
      </c>
      <c r="H28" s="312"/>
      <c r="I28" s="312"/>
      <c r="J28" s="312"/>
      <c r="K28" s="312"/>
      <c r="L28" s="312"/>
      <c r="M28" s="313"/>
      <c r="N28" s="312">
        <f t="shared" si="0"/>
        <v>4</v>
      </c>
      <c r="O28" s="314"/>
      <c r="P28" s="314"/>
      <c r="Q28" s="314"/>
      <c r="R28" s="314"/>
      <c r="S28" s="315"/>
      <c r="T28" s="316"/>
    </row>
    <row r="29" spans="1:20" s="317" customFormat="1">
      <c r="A29" s="309" t="str">
        <f>HYPERLINK("http://www.wantgoo.com/stock/chart.aspx?stockno=6422","6422")</f>
        <v>6422</v>
      </c>
      <c r="B29" s="310"/>
      <c r="C29" s="311">
        <f>VLOOKUP(6422,季財報!A:H,3)</f>
        <v>0</v>
      </c>
      <c r="D29" s="311">
        <f>VLOOKUP(6422,季財報!A:H,4)</f>
        <v>1</v>
      </c>
      <c r="E29" s="311">
        <f>VLOOKUP(6422,季財報!A:H,5)</f>
        <v>0</v>
      </c>
      <c r="F29" s="311">
        <f>VLOOKUP(6422,季財報!A:H,6)</f>
        <v>0</v>
      </c>
      <c r="G29" s="311">
        <f>VLOOKUP(6422,季財報!A:H,7)</f>
        <v>0</v>
      </c>
      <c r="H29" s="312"/>
      <c r="I29" s="312"/>
      <c r="J29" s="312"/>
      <c r="K29" s="312"/>
      <c r="L29" s="312"/>
      <c r="M29" s="313"/>
      <c r="N29" s="312">
        <f t="shared" si="0"/>
        <v>1</v>
      </c>
      <c r="O29" s="314"/>
      <c r="P29" s="314"/>
      <c r="Q29" s="314"/>
      <c r="R29" s="314"/>
      <c r="S29" s="315"/>
      <c r="T29" s="316"/>
    </row>
    <row r="30" spans="1:20" s="317" customFormat="1">
      <c r="A30" s="309" t="str">
        <f>HYPERLINK("http://www.wantgoo.com/stock/chart.aspx?stockno=2474","2474")</f>
        <v>2474</v>
      </c>
      <c r="B30" s="310"/>
      <c r="C30" s="311">
        <f>VLOOKUP(2474,季財報!A:H,3)</f>
        <v>1</v>
      </c>
      <c r="D30" s="311">
        <f>VLOOKUP(2474,季財報!A:H,4)</f>
        <v>1</v>
      </c>
      <c r="E30" s="311">
        <f>VLOOKUP(2474,季財報!A:H,5)</f>
        <v>0</v>
      </c>
      <c r="F30" s="311">
        <f>VLOOKUP(2474,季財報!A:H,6)</f>
        <v>1</v>
      </c>
      <c r="G30" s="311">
        <f>VLOOKUP(2474,季財報!A:H,7)</f>
        <v>0</v>
      </c>
      <c r="H30" s="312"/>
      <c r="I30" s="312"/>
      <c r="J30" s="312"/>
      <c r="K30" s="312"/>
      <c r="L30" s="312"/>
      <c r="M30" s="313"/>
      <c r="N30" s="312">
        <f t="shared" si="0"/>
        <v>3</v>
      </c>
      <c r="O30" s="314"/>
      <c r="P30" s="314"/>
      <c r="Q30" s="314"/>
      <c r="R30" s="314"/>
      <c r="S30" s="315"/>
      <c r="T30" s="316"/>
    </row>
    <row r="31" spans="1:20" s="317" customFormat="1">
      <c r="A31" s="309" t="str">
        <f>HYPERLINK("http://www.wantgoo.com/stock/chart.aspx?stockno=2929","2929")</f>
        <v>2929</v>
      </c>
      <c r="B31" s="310"/>
      <c r="C31" s="311">
        <f>VLOOKUP(2929,季財報!A:H,3)</f>
        <v>0</v>
      </c>
      <c r="D31" s="311">
        <f>VLOOKUP(2929,季財報!A:H,4)</f>
        <v>0</v>
      </c>
      <c r="E31" s="311">
        <f>VLOOKUP(2929,季財報!A:H,5)</f>
        <v>0</v>
      </c>
      <c r="F31" s="311">
        <f>VLOOKUP(2929,季財報!A:H,6)</f>
        <v>1</v>
      </c>
      <c r="G31" s="311">
        <f>VLOOKUP(2929,季財報!A:H,7)</f>
        <v>0</v>
      </c>
      <c r="H31" s="312"/>
      <c r="I31" s="312"/>
      <c r="J31" s="312"/>
      <c r="K31" s="312"/>
      <c r="L31" s="312"/>
      <c r="M31" s="313"/>
      <c r="N31" s="312">
        <f t="shared" si="0"/>
        <v>1</v>
      </c>
      <c r="O31" s="314"/>
      <c r="P31" s="314"/>
      <c r="Q31" s="314"/>
      <c r="R31" s="314"/>
      <c r="S31" s="315"/>
      <c r="T31" s="316"/>
    </row>
    <row r="32" spans="1:20" s="317" customFormat="1">
      <c r="A32" s="309" t="str">
        <f>HYPERLINK("http://www.wantgoo.com/stock/chart.aspx?stockno=1558","1558")</f>
        <v>1558</v>
      </c>
      <c r="B32" s="310"/>
      <c r="C32" s="311">
        <f>VLOOKUP(1558,季財報!A:H,3)</f>
        <v>1</v>
      </c>
      <c r="D32" s="311">
        <f>VLOOKUP(1558,季財報!A:H,4)</f>
        <v>1</v>
      </c>
      <c r="E32" s="311">
        <f>VLOOKUP(1558,季財報!A:H,5)</f>
        <v>1</v>
      </c>
      <c r="F32" s="311">
        <f>VLOOKUP(1558,季財報!A:H,6)</f>
        <v>1</v>
      </c>
      <c r="G32" s="311">
        <f>VLOOKUP(1558,季財報!A:H,7)</f>
        <v>0</v>
      </c>
      <c r="H32" s="312"/>
      <c r="I32" s="312"/>
      <c r="J32" s="312"/>
      <c r="K32" s="312"/>
      <c r="L32" s="312"/>
      <c r="M32" s="313"/>
      <c r="N32" s="312">
        <f t="shared" si="0"/>
        <v>4</v>
      </c>
      <c r="O32" s="314"/>
      <c r="P32" s="314"/>
      <c r="Q32" s="314"/>
      <c r="R32" s="314"/>
      <c r="S32" s="315"/>
      <c r="T32" s="316"/>
    </row>
    <row r="33" spans="1:20" s="317" customFormat="1">
      <c r="A33" s="309" t="str">
        <f>HYPERLINK("http://www.wantgoo.com/stock/chart.aspx?stockno=2354","2354")</f>
        <v>2354</v>
      </c>
      <c r="B33" s="310"/>
      <c r="C33" s="311">
        <f>VLOOKUP(2354,季財報!A:H,3)</f>
        <v>0</v>
      </c>
      <c r="D33" s="311">
        <f>VLOOKUP(2354,季財報!A:H,4)</f>
        <v>0</v>
      </c>
      <c r="E33" s="311">
        <f>VLOOKUP(2354,季財報!A:H,5)</f>
        <v>0</v>
      </c>
      <c r="F33" s="311">
        <f>VLOOKUP(2354,季財報!A:H,6)</f>
        <v>0</v>
      </c>
      <c r="G33" s="311">
        <f>VLOOKUP(2354,季財報!A:H,7)</f>
        <v>0</v>
      </c>
      <c r="H33" s="312"/>
      <c r="I33" s="312"/>
      <c r="J33" s="312"/>
      <c r="K33" s="312"/>
      <c r="L33" s="312"/>
      <c r="M33" s="313"/>
      <c r="N33" s="312">
        <f t="shared" si="0"/>
        <v>0</v>
      </c>
      <c r="O33" s="314"/>
      <c r="P33" s="314"/>
      <c r="Q33" s="314"/>
      <c r="R33" s="314"/>
      <c r="S33" s="315"/>
      <c r="T33" s="316"/>
    </row>
    <row r="34" spans="1:20" s="317" customFormat="1">
      <c r="A34" s="309" t="str">
        <f>HYPERLINK("http://www.wantgoo.com/stock/chart.aspx?stockno=4987","4987")</f>
        <v>4987</v>
      </c>
      <c r="B34" s="310"/>
      <c r="C34" s="311">
        <f>VLOOKUP(4987,季財報!A:H,3)</f>
        <v>1</v>
      </c>
      <c r="D34" s="311">
        <f>VLOOKUP(4987,季財報!A:H,4)</f>
        <v>1</v>
      </c>
      <c r="E34" s="311">
        <f>VLOOKUP(4987,季財報!A:H,5)</f>
        <v>0</v>
      </c>
      <c r="F34" s="311">
        <f>VLOOKUP(4987,季財報!A:H,6)</f>
        <v>0</v>
      </c>
      <c r="G34" s="311">
        <f>VLOOKUP(4987,季財報!A:H,7)</f>
        <v>0</v>
      </c>
      <c r="H34" s="312"/>
      <c r="I34" s="312"/>
      <c r="J34" s="312"/>
      <c r="K34" s="312"/>
      <c r="L34" s="312"/>
      <c r="M34" s="313"/>
      <c r="N34" s="312">
        <f t="shared" si="0"/>
        <v>2</v>
      </c>
      <c r="O34" s="314"/>
      <c r="P34" s="314"/>
      <c r="Q34" s="314"/>
      <c r="R34" s="314"/>
      <c r="S34" s="315"/>
      <c r="T34" s="316"/>
    </row>
    <row r="35" spans="1:20" s="317" customFormat="1">
      <c r="A35" s="309" t="str">
        <f>HYPERLINK("http://www.wantgoo.com/stock/chart.aspx?stockno=2109","2109")</f>
        <v>2109</v>
      </c>
      <c r="B35" s="310"/>
      <c r="C35" s="311">
        <f>VLOOKUP(2109,季財報!A:H,3)</f>
        <v>0</v>
      </c>
      <c r="D35" s="311">
        <f>VLOOKUP(2109,季財報!A:H,4)</f>
        <v>0</v>
      </c>
      <c r="E35" s="311">
        <f>VLOOKUP(2109,季財報!A:H,5)</f>
        <v>0</v>
      </c>
      <c r="F35" s="311">
        <f>VLOOKUP(2109,季財報!A:H,6)</f>
        <v>1</v>
      </c>
      <c r="G35" s="311">
        <f>VLOOKUP(2109,季財報!A:H,7)</f>
        <v>0</v>
      </c>
      <c r="H35" s="312"/>
      <c r="I35" s="312"/>
      <c r="J35" s="312"/>
      <c r="K35" s="312"/>
      <c r="L35" s="312"/>
      <c r="M35" s="313"/>
      <c r="N35" s="312">
        <f t="shared" si="0"/>
        <v>1</v>
      </c>
      <c r="O35" s="314"/>
      <c r="P35" s="314"/>
      <c r="Q35" s="314"/>
      <c r="R35" s="314"/>
      <c r="S35" s="315"/>
      <c r="T35" s="316"/>
    </row>
    <row r="36" spans="1:20" s="317" customFormat="1">
      <c r="A36" s="309" t="str">
        <f>HYPERLINK("http://www.wantgoo.com/stock/chart.aspx?stockno=3559","3559")</f>
        <v>3559</v>
      </c>
      <c r="B36" s="310"/>
      <c r="C36" s="311">
        <f>VLOOKUP(3559,季財報!A:H,3)</f>
        <v>0</v>
      </c>
      <c r="D36" s="311">
        <f>VLOOKUP(3559,季財報!A:H,4)</f>
        <v>1</v>
      </c>
      <c r="E36" s="311">
        <f>VLOOKUP(3559,季財報!A:H,5)</f>
        <v>1</v>
      </c>
      <c r="F36" s="311">
        <f>VLOOKUP(3559,季財報!A:H,6)</f>
        <v>1</v>
      </c>
      <c r="G36" s="311">
        <f>VLOOKUP(3559,季財報!A:H,7)</f>
        <v>0</v>
      </c>
      <c r="H36" s="312"/>
      <c r="I36" s="312"/>
      <c r="J36" s="312"/>
      <c r="K36" s="312"/>
      <c r="L36" s="312"/>
      <c r="M36" s="313"/>
      <c r="N36" s="312">
        <f t="shared" si="0"/>
        <v>3</v>
      </c>
      <c r="O36" s="314"/>
      <c r="P36" s="314"/>
      <c r="Q36" s="314"/>
      <c r="R36" s="314"/>
      <c r="S36" s="315"/>
      <c r="T36" s="316"/>
    </row>
    <row r="37" spans="1:20" s="317" customFormat="1">
      <c r="A37" s="309" t="str">
        <f>HYPERLINK("http://www.wantgoo.com/stock/chart.aspx?stockno=6263","6263")</f>
        <v>6263</v>
      </c>
      <c r="B37" s="310"/>
      <c r="C37" s="311">
        <f>VLOOKUP(6263,季財報!A:H,3)</f>
        <v>0</v>
      </c>
      <c r="D37" s="311">
        <f>VLOOKUP(6263,季財報!A:H,4)</f>
        <v>1</v>
      </c>
      <c r="E37" s="311">
        <f>VLOOKUP(6263,季財報!A:H,5)</f>
        <v>0</v>
      </c>
      <c r="F37" s="311">
        <f>VLOOKUP(6263,季財報!A:H,6)</f>
        <v>1</v>
      </c>
      <c r="G37" s="311">
        <f>VLOOKUP(6263,季財報!A:H,7)</f>
        <v>0</v>
      </c>
      <c r="H37" s="312"/>
      <c r="I37" s="312"/>
      <c r="J37" s="312"/>
      <c r="K37" s="312"/>
      <c r="L37" s="312"/>
      <c r="M37" s="313"/>
      <c r="N37" s="312">
        <f t="shared" si="0"/>
        <v>2</v>
      </c>
      <c r="O37" s="314"/>
      <c r="P37" s="314"/>
      <c r="Q37" s="314"/>
      <c r="R37" s="314"/>
      <c r="S37" s="315"/>
      <c r="T37" s="316"/>
    </row>
    <row r="38" spans="1:20" s="317" customFormat="1">
      <c r="A38" s="309" t="str">
        <f>HYPERLINK("http://www.wantgoo.com/stock/chart.aspx?stockno=6167","6167")</f>
        <v>6167</v>
      </c>
      <c r="B38" s="310"/>
      <c r="C38" s="311">
        <f>VLOOKUP(6167,季財報!A:H,3)</f>
        <v>0</v>
      </c>
      <c r="D38" s="311">
        <f>VLOOKUP(6167,季財報!A:H,4)</f>
        <v>1</v>
      </c>
      <c r="E38" s="311">
        <f>VLOOKUP(6167,季財報!A:H,5)</f>
        <v>0</v>
      </c>
      <c r="F38" s="311">
        <f>VLOOKUP(6167,季財報!A:H,6)</f>
        <v>0</v>
      </c>
      <c r="G38" s="311">
        <f>VLOOKUP(6167,季財報!A:H,7)</f>
        <v>0</v>
      </c>
      <c r="H38" s="312"/>
      <c r="I38" s="312"/>
      <c r="J38" s="312"/>
      <c r="K38" s="312"/>
      <c r="L38" s="312"/>
      <c r="M38" s="313"/>
      <c r="N38" s="312">
        <f t="shared" si="0"/>
        <v>1</v>
      </c>
      <c r="O38" s="314"/>
      <c r="P38" s="314"/>
      <c r="Q38" s="314"/>
      <c r="R38" s="314"/>
      <c r="S38" s="315"/>
      <c r="T38" s="316"/>
    </row>
    <row r="39" spans="1:20" s="317" customFormat="1">
      <c r="A39" s="309" t="str">
        <f>HYPERLINK("http://www.wantgoo.com/stock/chart.aspx?stockno=2536","2536")</f>
        <v>2536</v>
      </c>
      <c r="B39" s="310"/>
      <c r="C39" s="311">
        <f>VLOOKUP(2536,季財報!A:H,3)</f>
        <v>0</v>
      </c>
      <c r="D39" s="311">
        <f>VLOOKUP(2536,季財報!A:H,4)</f>
        <v>1</v>
      </c>
      <c r="E39" s="311">
        <f>VLOOKUP(2536,季財報!A:H,5)</f>
        <v>2</v>
      </c>
      <c r="F39" s="311">
        <f>VLOOKUP(2536,季財報!A:H,6)</f>
        <v>0</v>
      </c>
      <c r="G39" s="311">
        <f>VLOOKUP(2536,季財報!A:H,7)</f>
        <v>0</v>
      </c>
      <c r="H39" s="312"/>
      <c r="I39" s="312"/>
      <c r="J39" s="312"/>
      <c r="K39" s="312"/>
      <c r="L39" s="312"/>
      <c r="M39" s="313"/>
      <c r="N39" s="312">
        <f t="shared" si="0"/>
        <v>3</v>
      </c>
      <c r="O39" s="314"/>
      <c r="P39" s="314"/>
      <c r="Q39" s="314"/>
      <c r="R39" s="314"/>
      <c r="S39" s="315"/>
      <c r="T39" s="316"/>
    </row>
    <row r="40" spans="1:20" s="317" customFormat="1">
      <c r="A40" s="309" t="str">
        <f>HYPERLINK("http://www.wantgoo.com/stock/chart.aspx?stockno=5349","5349")</f>
        <v>5349</v>
      </c>
      <c r="B40" s="310"/>
      <c r="C40" s="311">
        <f>VLOOKUP(5349,季財報!A:H,3)</f>
        <v>0</v>
      </c>
      <c r="D40" s="311">
        <f>VLOOKUP(5349,季財報!A:H,4)</f>
        <v>0</v>
      </c>
      <c r="E40" s="311">
        <f>VLOOKUP(5349,季財報!A:H,5)</f>
        <v>0</v>
      </c>
      <c r="F40" s="311">
        <f>VLOOKUP(5349,季財報!A:H,6)</f>
        <v>1</v>
      </c>
      <c r="G40" s="311">
        <f>VLOOKUP(5349,季財報!A:H,7)</f>
        <v>0</v>
      </c>
      <c r="H40" s="312"/>
      <c r="I40" s="312"/>
      <c r="J40" s="312"/>
      <c r="K40" s="312"/>
      <c r="L40" s="312"/>
      <c r="M40" s="313"/>
      <c r="N40" s="312">
        <f t="shared" si="0"/>
        <v>1</v>
      </c>
      <c r="O40" s="314"/>
      <c r="P40" s="314"/>
      <c r="Q40" s="314"/>
      <c r="R40" s="314"/>
      <c r="S40" s="315"/>
      <c r="T40" s="316"/>
    </row>
    <row r="41" spans="1:20" s="317" customFormat="1">
      <c r="A41" s="309" t="str">
        <f>HYPERLINK("http://www.wantgoo.com/stock/chart.aspx?stockno=5508","5508")</f>
        <v>5508</v>
      </c>
      <c r="B41" s="310"/>
      <c r="C41" s="311">
        <f>VLOOKUP(5508,季財報!A:H,3)</f>
        <v>0</v>
      </c>
      <c r="D41" s="311">
        <f>VLOOKUP(5508,季財報!A:H,4)</f>
        <v>0</v>
      </c>
      <c r="E41" s="311">
        <f>VLOOKUP(5508,季財報!A:H,5)</f>
        <v>1</v>
      </c>
      <c r="F41" s="311">
        <f>VLOOKUP(5508,季財報!A:H,6)</f>
        <v>0</v>
      </c>
      <c r="G41" s="311">
        <f>VLOOKUP(5508,季財報!A:H,7)</f>
        <v>0</v>
      </c>
      <c r="H41" s="312"/>
      <c r="I41" s="312"/>
      <c r="J41" s="312"/>
      <c r="K41" s="312"/>
      <c r="L41" s="312"/>
      <c r="M41" s="313"/>
      <c r="N41" s="312">
        <f t="shared" si="0"/>
        <v>1</v>
      </c>
      <c r="O41" s="314"/>
      <c r="P41" s="314"/>
      <c r="Q41" s="314"/>
      <c r="R41" s="314"/>
      <c r="S41" s="315"/>
      <c r="T41" s="316"/>
    </row>
    <row r="42" spans="1:20" s="317" customFormat="1">
      <c r="A42" s="309" t="str">
        <f>HYPERLINK("http://www.wantgoo.com/stock/chart.aspx?stockno=8131","8131")</f>
        <v>8131</v>
      </c>
      <c r="B42" s="310"/>
      <c r="C42" s="311">
        <f>VLOOKUP(8131,季財報!A:H,3)</f>
        <v>0</v>
      </c>
      <c r="D42" s="311">
        <f>VLOOKUP(8131,季財報!A:H,4)</f>
        <v>1</v>
      </c>
      <c r="E42" s="311">
        <f>VLOOKUP(8131,季財報!A:H,5)</f>
        <v>0</v>
      </c>
      <c r="F42" s="311">
        <f>VLOOKUP(8131,季財報!A:H,6)</f>
        <v>1</v>
      </c>
      <c r="G42" s="311">
        <f>VLOOKUP(8131,季財報!A:H,7)</f>
        <v>0</v>
      </c>
      <c r="H42" s="312"/>
      <c r="I42" s="312"/>
      <c r="J42" s="312"/>
      <c r="K42" s="312"/>
      <c r="L42" s="312"/>
      <c r="M42" s="313"/>
      <c r="N42" s="312">
        <f t="shared" si="0"/>
        <v>2</v>
      </c>
      <c r="O42" s="314"/>
      <c r="P42" s="314"/>
      <c r="Q42" s="314"/>
      <c r="R42" s="314"/>
      <c r="S42" s="315"/>
      <c r="T42" s="316"/>
    </row>
    <row r="43" spans="1:20" s="317" customFormat="1">
      <c r="A43" s="309" t="str">
        <f>HYPERLINK("http://www.wantgoo.com/stock/chart.aspx?stockno=5266","5266")</f>
        <v>5266</v>
      </c>
      <c r="B43" s="310"/>
      <c r="C43" s="311">
        <f>VLOOKUP(5266,季財報!A:H,3)</f>
        <v>0</v>
      </c>
      <c r="D43" s="311">
        <f>VLOOKUP(5266,季財報!A:H,4)</f>
        <v>1</v>
      </c>
      <c r="E43" s="311">
        <f>VLOOKUP(5266,季財報!A:H,5)</f>
        <v>1</v>
      </c>
      <c r="F43" s="311">
        <f>VLOOKUP(5266,季財報!A:H,6)</f>
        <v>1</v>
      </c>
      <c r="G43" s="311">
        <f>VLOOKUP(5266,季財報!A:H,7)</f>
        <v>0</v>
      </c>
      <c r="H43" s="312"/>
      <c r="I43" s="312"/>
      <c r="J43" s="312"/>
      <c r="K43" s="312"/>
      <c r="L43" s="312"/>
      <c r="M43" s="313"/>
      <c r="N43" s="312">
        <f t="shared" si="0"/>
        <v>3</v>
      </c>
      <c r="O43" s="314"/>
      <c r="P43" s="314"/>
      <c r="Q43" s="314"/>
      <c r="R43" s="314"/>
      <c r="S43" s="315"/>
      <c r="T43" s="316"/>
    </row>
    <row r="44" spans="1:20" s="317" customFormat="1">
      <c r="A44" s="309" t="str">
        <f>HYPERLINK("http://www.wantgoo.com/stock/chart.aspx?stockno=5015","5015")</f>
        <v>5015</v>
      </c>
      <c r="B44" s="310"/>
      <c r="C44" s="311">
        <f>VLOOKUP(5015,季財報!A:H,3)</f>
        <v>0</v>
      </c>
      <c r="D44" s="311">
        <f>VLOOKUP(5015,季財報!A:H,4)</f>
        <v>1</v>
      </c>
      <c r="E44" s="311">
        <f>VLOOKUP(5015,季財報!A:H,5)</f>
        <v>2</v>
      </c>
      <c r="F44" s="311">
        <f>VLOOKUP(5015,季財報!A:H,6)</f>
        <v>0</v>
      </c>
      <c r="G44" s="311">
        <f>VLOOKUP(5015,季財報!A:H,7)</f>
        <v>0</v>
      </c>
      <c r="H44" s="312"/>
      <c r="I44" s="312"/>
      <c r="J44" s="312"/>
      <c r="K44" s="312"/>
      <c r="L44" s="312"/>
      <c r="M44" s="313"/>
      <c r="N44" s="312">
        <f t="shared" si="0"/>
        <v>3</v>
      </c>
      <c r="O44" s="314"/>
      <c r="P44" s="314"/>
      <c r="Q44" s="314"/>
      <c r="R44" s="314"/>
      <c r="S44" s="315"/>
      <c r="T44" s="316"/>
    </row>
    <row r="45" spans="1:20" s="317" customFormat="1">
      <c r="A45" s="309" t="str">
        <f>HYPERLINK("http://www.wantgoo.com/stock/chart.aspx?stockno=3167","3167")</f>
        <v>3167</v>
      </c>
      <c r="B45" s="310"/>
      <c r="C45" s="311">
        <f>VLOOKUP(3167,季財報!A:H,3)</f>
        <v>1</v>
      </c>
      <c r="D45" s="311">
        <f>VLOOKUP(3167,季財報!A:H,4)</f>
        <v>1</v>
      </c>
      <c r="E45" s="311">
        <f>VLOOKUP(3167,季財報!A:H,5)</f>
        <v>0</v>
      </c>
      <c r="F45" s="311">
        <f>VLOOKUP(3167,季財報!A:H,6)</f>
        <v>1</v>
      </c>
      <c r="G45" s="311">
        <f>VLOOKUP(3167,季財報!A:H,7)</f>
        <v>0</v>
      </c>
      <c r="H45" s="312"/>
      <c r="I45" s="312"/>
      <c r="J45" s="312"/>
      <c r="K45" s="312"/>
      <c r="L45" s="312"/>
      <c r="M45" s="313"/>
      <c r="N45" s="312">
        <f t="shared" si="0"/>
        <v>3</v>
      </c>
      <c r="O45" s="314"/>
      <c r="P45" s="314"/>
      <c r="Q45" s="314"/>
      <c r="R45" s="314"/>
      <c r="S45" s="315"/>
      <c r="T45" s="316"/>
    </row>
    <row r="46" spans="1:20" s="317" customFormat="1">
      <c r="A46" s="309" t="str">
        <f>HYPERLINK("http://www.wantgoo.com/stock/chart.aspx?stockno=4960","4960")</f>
        <v>4960</v>
      </c>
      <c r="B46" s="310"/>
      <c r="C46" s="311">
        <f>VLOOKUP(4960,季財報!A:H,3)</f>
        <v>0</v>
      </c>
      <c r="D46" s="311">
        <f>VLOOKUP(4960,季財報!A:H,4)</f>
        <v>1</v>
      </c>
      <c r="E46" s="311">
        <f>VLOOKUP(4960,季財報!A:H,5)</f>
        <v>0</v>
      </c>
      <c r="F46" s="311">
        <f>VLOOKUP(4960,季財報!A:H,6)</f>
        <v>1</v>
      </c>
      <c r="G46" s="311">
        <f>VLOOKUP(4960,季財報!A:H,7)</f>
        <v>0</v>
      </c>
      <c r="H46" s="312"/>
      <c r="I46" s="312"/>
      <c r="J46" s="312"/>
      <c r="K46" s="312"/>
      <c r="L46" s="312"/>
      <c r="M46" s="313"/>
      <c r="N46" s="312">
        <f t="shared" si="0"/>
        <v>2</v>
      </c>
      <c r="O46" s="314"/>
      <c r="P46" s="314"/>
      <c r="Q46" s="314"/>
      <c r="R46" s="314"/>
      <c r="S46" s="315"/>
      <c r="T46" s="316"/>
    </row>
    <row r="47" spans="1:20" s="317" customFormat="1">
      <c r="A47" s="309" t="str">
        <f>HYPERLINK("http://www.wantgoo.com/stock/chart.aspx?stockno=1539","1539")</f>
        <v>1539</v>
      </c>
      <c r="B47" s="310"/>
      <c r="C47" s="311">
        <f>VLOOKUP(1539,季財報!A:H,3)</f>
        <v>1</v>
      </c>
      <c r="D47" s="311">
        <f>VLOOKUP(1539,季財報!A:H,4)</f>
        <v>1</v>
      </c>
      <c r="E47" s="311">
        <f>VLOOKUP(1539,季財報!A:H,5)</f>
        <v>1</v>
      </c>
      <c r="F47" s="311">
        <f>VLOOKUP(1539,季財報!A:H,6)</f>
        <v>1</v>
      </c>
      <c r="G47" s="311">
        <f>VLOOKUP(1539,季財報!A:H,7)</f>
        <v>0</v>
      </c>
      <c r="H47" s="312"/>
      <c r="I47" s="312"/>
      <c r="J47" s="312"/>
      <c r="K47" s="312"/>
      <c r="L47" s="312"/>
      <c r="M47" s="313"/>
      <c r="N47" s="312">
        <f t="shared" si="0"/>
        <v>4</v>
      </c>
      <c r="O47" s="314"/>
      <c r="P47" s="314"/>
      <c r="Q47" s="314"/>
      <c r="R47" s="314"/>
      <c r="S47" s="315"/>
      <c r="T47" s="316"/>
    </row>
    <row r="48" spans="1:20" s="317" customFormat="1">
      <c r="A48" s="309" t="str">
        <f>HYPERLINK("http://www.wantgoo.com/stock/chart.aspx?stockno=2493","2493")</f>
        <v>2493</v>
      </c>
      <c r="B48" s="310"/>
      <c r="C48" s="311">
        <f>VLOOKUP(2493,季財報!A:H,3)</f>
        <v>1</v>
      </c>
      <c r="D48" s="311">
        <f>VLOOKUP(2493,季財報!A:H,4)</f>
        <v>1</v>
      </c>
      <c r="E48" s="311">
        <f>VLOOKUP(2493,季財報!A:H,5)</f>
        <v>0</v>
      </c>
      <c r="F48" s="311">
        <f>VLOOKUP(2493,季財報!A:H,6)</f>
        <v>1</v>
      </c>
      <c r="G48" s="311">
        <f>VLOOKUP(2493,季財報!A:H,7)</f>
        <v>0</v>
      </c>
      <c r="H48" s="312"/>
      <c r="I48" s="312"/>
      <c r="J48" s="312"/>
      <c r="K48" s="312"/>
      <c r="L48" s="312"/>
      <c r="M48" s="313"/>
      <c r="N48" s="312">
        <f t="shared" si="0"/>
        <v>3</v>
      </c>
      <c r="O48" s="314"/>
      <c r="P48" s="314"/>
      <c r="Q48" s="314"/>
      <c r="R48" s="314"/>
      <c r="S48" s="315"/>
      <c r="T48" s="316"/>
    </row>
    <row r="49" spans="1:20" s="317" customFormat="1">
      <c r="A49" s="309" t="str">
        <f>HYPERLINK("http://www.wantgoo.com/stock/chart.aspx?stockno=4958","4958")</f>
        <v>4958</v>
      </c>
      <c r="B49" s="310"/>
      <c r="C49" s="311">
        <f>VLOOKUP(4958,季財報!A:H,3)</f>
        <v>0</v>
      </c>
      <c r="D49" s="311">
        <f>VLOOKUP(4958,季財報!A:H,4)</f>
        <v>1</v>
      </c>
      <c r="E49" s="311">
        <f>VLOOKUP(4958,季財報!A:H,5)</f>
        <v>0</v>
      </c>
      <c r="F49" s="311">
        <f>VLOOKUP(4958,季財報!A:H,6)</f>
        <v>1</v>
      </c>
      <c r="G49" s="311">
        <f>VLOOKUP(4958,季財報!A:H,7)</f>
        <v>0</v>
      </c>
      <c r="H49" s="312"/>
      <c r="I49" s="312"/>
      <c r="J49" s="312"/>
      <c r="K49" s="312"/>
      <c r="L49" s="312"/>
      <c r="M49" s="313"/>
      <c r="N49" s="312">
        <f t="shared" si="0"/>
        <v>2</v>
      </c>
      <c r="O49" s="314"/>
      <c r="P49" s="314"/>
      <c r="Q49" s="314"/>
      <c r="R49" s="314"/>
      <c r="S49" s="315"/>
      <c r="T49" s="316"/>
    </row>
    <row r="50" spans="1:20" s="317" customFormat="1">
      <c r="A50" s="309" t="str">
        <f>HYPERLINK("http://www.wantgoo.com/stock/chart.aspx?stockno=5522","5522")</f>
        <v>5522</v>
      </c>
      <c r="B50" s="310"/>
      <c r="C50" s="311">
        <f>VLOOKUP(5522,季財報!A:H,3)</f>
        <v>0</v>
      </c>
      <c r="D50" s="311">
        <f>VLOOKUP(5522,季財報!A:H,4)</f>
        <v>0</v>
      </c>
      <c r="E50" s="311">
        <f>VLOOKUP(5522,季財報!A:H,5)</f>
        <v>0</v>
      </c>
      <c r="F50" s="311">
        <f>VLOOKUP(5522,季財報!A:H,6)</f>
        <v>1</v>
      </c>
      <c r="G50" s="311">
        <f>VLOOKUP(5522,季財報!A:H,7)</f>
        <v>0</v>
      </c>
      <c r="H50" s="312"/>
      <c r="I50" s="312"/>
      <c r="J50" s="312"/>
      <c r="K50" s="312"/>
      <c r="L50" s="312"/>
      <c r="M50" s="313"/>
      <c r="N50" s="312">
        <f t="shared" si="0"/>
        <v>1</v>
      </c>
      <c r="O50" s="314"/>
      <c r="P50" s="314"/>
      <c r="Q50" s="314"/>
      <c r="R50" s="314"/>
      <c r="S50" s="315"/>
      <c r="T50" s="316"/>
    </row>
    <row r="51" spans="1:20" s="317" customFormat="1">
      <c r="A51" s="309" t="str">
        <f>HYPERLINK("http://www.wantgoo.com/stock/chart.aspx?stockno=8109","8109")</f>
        <v>8109</v>
      </c>
      <c r="B51" s="310"/>
      <c r="C51" s="311">
        <f>VLOOKUP(8109,季財報!A:H,3)</f>
        <v>1</v>
      </c>
      <c r="D51" s="311">
        <f>VLOOKUP(8109,季財報!A:H,4)</f>
        <v>1</v>
      </c>
      <c r="E51" s="311">
        <f>VLOOKUP(8109,季財報!A:H,5)</f>
        <v>2</v>
      </c>
      <c r="F51" s="311">
        <f>VLOOKUP(8109,季財報!A:H,6)</f>
        <v>1</v>
      </c>
      <c r="G51" s="311">
        <f>VLOOKUP(8109,季財報!A:H,7)</f>
        <v>0</v>
      </c>
      <c r="H51" s="312"/>
      <c r="I51" s="312"/>
      <c r="J51" s="312"/>
      <c r="K51" s="312"/>
      <c r="L51" s="312"/>
      <c r="M51" s="313"/>
      <c r="N51" s="312">
        <f t="shared" si="0"/>
        <v>5</v>
      </c>
      <c r="O51" s="314"/>
      <c r="P51" s="314"/>
      <c r="Q51" s="314"/>
      <c r="R51" s="314"/>
      <c r="S51" s="315"/>
      <c r="T51" s="316"/>
    </row>
    <row r="52" spans="1:20" s="317" customFormat="1">
      <c r="A52" s="309" t="str">
        <f>HYPERLINK("http://www.wantgoo.com/stock/chart.aspx?stockno=3672","3672")</f>
        <v>3672</v>
      </c>
      <c r="B52" s="310"/>
      <c r="C52" s="311">
        <f>VLOOKUP(3672,季財報!A:H,3)</f>
        <v>0</v>
      </c>
      <c r="D52" s="311">
        <f>VLOOKUP(3672,季財報!A:H,4)</f>
        <v>1</v>
      </c>
      <c r="E52" s="311">
        <f>VLOOKUP(3672,季財報!A:H,5)</f>
        <v>1</v>
      </c>
      <c r="F52" s="311">
        <f>VLOOKUP(3672,季財報!A:H,6)</f>
        <v>0</v>
      </c>
      <c r="G52" s="311">
        <f>VLOOKUP(3672,季財報!A:H,7)</f>
        <v>1</v>
      </c>
      <c r="H52" s="312"/>
      <c r="I52" s="312"/>
      <c r="J52" s="312"/>
      <c r="K52" s="312"/>
      <c r="L52" s="312"/>
      <c r="M52" s="313"/>
      <c r="N52" s="312">
        <f t="shared" si="0"/>
        <v>3</v>
      </c>
      <c r="O52" s="314"/>
      <c r="P52" s="314"/>
      <c r="Q52" s="314"/>
      <c r="R52" s="314"/>
      <c r="S52" s="315"/>
      <c r="T52" s="316"/>
    </row>
    <row r="53" spans="1:20" s="317" customFormat="1">
      <c r="A53" s="309" t="str">
        <f>HYPERLINK("http://www.wantgoo.com/stock/chart.aspx?stockno=3501","3501")</f>
        <v>3501</v>
      </c>
      <c r="B53" s="310"/>
      <c r="C53" s="311">
        <f>VLOOKUP(3501,季財報!A:H,3)</f>
        <v>1</v>
      </c>
      <c r="D53" s="311">
        <f>VLOOKUP(3501,季財報!A:H,4)</f>
        <v>1</v>
      </c>
      <c r="E53" s="311">
        <f>VLOOKUP(3501,季財報!A:H,5)</f>
        <v>1</v>
      </c>
      <c r="F53" s="311">
        <f>VLOOKUP(3501,季財報!A:H,6)</f>
        <v>1</v>
      </c>
      <c r="G53" s="311">
        <f>VLOOKUP(3501,季財報!A:H,7)</f>
        <v>1</v>
      </c>
      <c r="H53" s="312"/>
      <c r="I53" s="312"/>
      <c r="J53" s="312"/>
      <c r="K53" s="312"/>
      <c r="L53" s="312"/>
      <c r="M53" s="313"/>
      <c r="N53" s="312">
        <f t="shared" si="0"/>
        <v>5</v>
      </c>
      <c r="O53" s="314"/>
      <c r="P53" s="314"/>
      <c r="Q53" s="314"/>
      <c r="R53" s="314"/>
      <c r="S53" s="315"/>
      <c r="T53" s="316"/>
    </row>
    <row r="54" spans="1:20" s="317" customFormat="1">
      <c r="A54" s="309" t="str">
        <f>HYPERLINK("http://www.wantgoo.com/stock/chart.aspx?stockno=1808","1808")</f>
        <v>1808</v>
      </c>
      <c r="B54" s="310"/>
      <c r="C54" s="311">
        <f>VLOOKUP(1808,季財報!A:H,3)</f>
        <v>1</v>
      </c>
      <c r="D54" s="311">
        <f>VLOOKUP(1808,季財報!A:H,4)</f>
        <v>1</v>
      </c>
      <c r="E54" s="311">
        <f>VLOOKUP(1808,季財報!A:H,5)</f>
        <v>2</v>
      </c>
      <c r="F54" s="311">
        <f>VLOOKUP(1808,季財報!A:H,6)</f>
        <v>1</v>
      </c>
      <c r="G54" s="311">
        <f>VLOOKUP(1808,季財報!A:H,7)</f>
        <v>1</v>
      </c>
      <c r="H54" s="312"/>
      <c r="I54" s="312"/>
      <c r="J54" s="312"/>
      <c r="K54" s="312"/>
      <c r="L54" s="312"/>
      <c r="M54" s="313"/>
      <c r="N54" s="312">
        <f t="shared" si="0"/>
        <v>6</v>
      </c>
      <c r="O54" s="314"/>
      <c r="P54" s="314"/>
      <c r="Q54" s="314"/>
      <c r="R54" s="314"/>
      <c r="S54" s="315"/>
      <c r="T54" s="316"/>
    </row>
    <row r="55" spans="1:20" s="317" customFormat="1">
      <c r="A55" s="309" t="str">
        <f>HYPERLINK("http://www.wantgoo.com/stock/chart.aspx?stockno=2206","2206")</f>
        <v>2206</v>
      </c>
      <c r="B55" s="310"/>
      <c r="C55" s="311">
        <f>VLOOKUP(2206,季財報!A:H,3)</f>
        <v>1</v>
      </c>
      <c r="D55" s="311">
        <f>VLOOKUP(2206,季財報!A:H,4)</f>
        <v>1</v>
      </c>
      <c r="E55" s="311">
        <f>VLOOKUP(2206,季財報!A:H,5)</f>
        <v>0</v>
      </c>
      <c r="F55" s="311">
        <f>VLOOKUP(2206,季財報!A:H,6)</f>
        <v>0</v>
      </c>
      <c r="G55" s="311">
        <f>VLOOKUP(2206,季財報!A:H,7)</f>
        <v>0</v>
      </c>
      <c r="H55" s="312"/>
      <c r="I55" s="312"/>
      <c r="J55" s="312"/>
      <c r="K55" s="312"/>
      <c r="L55" s="312"/>
      <c r="M55" s="313"/>
      <c r="N55" s="312">
        <f t="shared" si="0"/>
        <v>2</v>
      </c>
      <c r="O55" s="314"/>
      <c r="P55" s="314"/>
      <c r="Q55" s="314"/>
      <c r="R55" s="314"/>
      <c r="S55" s="315"/>
      <c r="T55" s="316"/>
    </row>
    <row r="56" spans="1:20" s="317" customFormat="1">
      <c r="A56" s="309" t="str">
        <f>HYPERLINK("http://www.wantgoo.com/stock/chart.aspx?stockno=4305","4305")</f>
        <v>4305</v>
      </c>
      <c r="B56" s="310"/>
      <c r="C56" s="311">
        <f>VLOOKUP(4305,季財報!A:H,3)</f>
        <v>1</v>
      </c>
      <c r="D56" s="311">
        <f>VLOOKUP(4305,季財報!A:H,4)</f>
        <v>1</v>
      </c>
      <c r="E56" s="311">
        <f>VLOOKUP(4305,季財報!A:H,5)</f>
        <v>1</v>
      </c>
      <c r="F56" s="311">
        <f>VLOOKUP(4305,季財報!A:H,6)</f>
        <v>1</v>
      </c>
      <c r="G56" s="311">
        <f>VLOOKUP(4305,季財報!A:H,7)</f>
        <v>0</v>
      </c>
      <c r="H56" s="312"/>
      <c r="I56" s="312"/>
      <c r="J56" s="312"/>
      <c r="K56" s="312"/>
      <c r="L56" s="312"/>
      <c r="M56" s="313"/>
      <c r="N56" s="312">
        <f t="shared" si="0"/>
        <v>4</v>
      </c>
      <c r="O56" s="314"/>
      <c r="P56" s="314"/>
      <c r="Q56" s="314"/>
      <c r="R56" s="314"/>
      <c r="S56" s="315"/>
      <c r="T56" s="316"/>
    </row>
    <row r="57" spans="1:20" s="317" customFormat="1">
      <c r="A57" s="309" t="str">
        <f>HYPERLINK("http://www.wantgoo.com/stock/chart.aspx?stockno=1540","1540")</f>
        <v>1540</v>
      </c>
      <c r="B57" s="310"/>
      <c r="C57" s="311">
        <f>VLOOKUP(1540,季財報!A:H,3)</f>
        <v>0</v>
      </c>
      <c r="D57" s="311">
        <f>VLOOKUP(1540,季財報!A:H,4)</f>
        <v>1</v>
      </c>
      <c r="E57" s="311">
        <f>VLOOKUP(1540,季財報!A:H,5)</f>
        <v>0</v>
      </c>
      <c r="F57" s="311">
        <f>VLOOKUP(1540,季財報!A:H,6)</f>
        <v>0</v>
      </c>
      <c r="G57" s="311">
        <f>VLOOKUP(1540,季財報!A:H,7)</f>
        <v>0</v>
      </c>
      <c r="H57" s="312"/>
      <c r="I57" s="312"/>
      <c r="J57" s="312"/>
      <c r="K57" s="312"/>
      <c r="L57" s="312"/>
      <c r="M57" s="313"/>
      <c r="N57" s="312">
        <f t="shared" si="0"/>
        <v>1</v>
      </c>
      <c r="O57" s="314"/>
      <c r="P57" s="314"/>
      <c r="Q57" s="314"/>
      <c r="R57" s="314"/>
      <c r="S57" s="315"/>
    </row>
    <row r="58" spans="1:20" s="317" customFormat="1">
      <c r="A58" s="309" t="str">
        <f>HYPERLINK("http://www.wantgoo.com/stock/chart.aspx?stockno=3030","3030")</f>
        <v>3030</v>
      </c>
      <c r="B58" s="310"/>
      <c r="C58" s="311">
        <f>VLOOKUP(3030,季財報!A:H,3)</f>
        <v>0</v>
      </c>
      <c r="D58" s="311">
        <f>VLOOKUP(3030,季財報!A:H,4)</f>
        <v>1</v>
      </c>
      <c r="E58" s="311">
        <f>VLOOKUP(3030,季財報!A:H,5)</f>
        <v>0</v>
      </c>
      <c r="F58" s="311">
        <f>VLOOKUP(3030,季財報!A:H,6)</f>
        <v>0</v>
      </c>
      <c r="G58" s="311">
        <f>VLOOKUP(3030,季財報!A:H,7)</f>
        <v>0</v>
      </c>
      <c r="H58" s="312"/>
      <c r="I58" s="312"/>
      <c r="J58" s="312"/>
      <c r="K58" s="312"/>
      <c r="L58" s="312"/>
      <c r="M58" s="313"/>
      <c r="N58" s="312">
        <f t="shared" si="0"/>
        <v>1</v>
      </c>
      <c r="O58" s="314"/>
      <c r="P58" s="314"/>
      <c r="Q58" s="314"/>
      <c r="R58" s="314"/>
      <c r="S58" s="315"/>
    </row>
    <row r="59" spans="1:20" s="317" customFormat="1">
      <c r="A59" s="309" t="str">
        <f>HYPERLINK("http://www.wantgoo.com/stock/chart.aspx?stockno=6247","6247")</f>
        <v>6247</v>
      </c>
      <c r="B59" s="310"/>
      <c r="C59" s="311">
        <f>VLOOKUP(6247,季財報!A:H,3)</f>
        <v>1</v>
      </c>
      <c r="D59" s="311">
        <f>VLOOKUP(6247,季財報!A:H,4)</f>
        <v>1</v>
      </c>
      <c r="E59" s="311">
        <f>VLOOKUP(6247,季財報!A:H,5)</f>
        <v>1</v>
      </c>
      <c r="F59" s="311">
        <f>VLOOKUP(6247,季財報!A:H,6)</f>
        <v>0</v>
      </c>
      <c r="G59" s="311">
        <f>VLOOKUP(6247,季財報!A:H,7)</f>
        <v>0</v>
      </c>
      <c r="H59" s="312"/>
      <c r="I59" s="312"/>
      <c r="J59" s="312"/>
      <c r="K59" s="312"/>
      <c r="L59" s="312"/>
      <c r="M59" s="313"/>
      <c r="N59" s="312">
        <f t="shared" si="0"/>
        <v>3</v>
      </c>
      <c r="O59" s="314"/>
      <c r="P59" s="314"/>
      <c r="Q59" s="314"/>
      <c r="R59" s="314"/>
      <c r="S59" s="315"/>
    </row>
    <row r="60" spans="1:20" s="317" customFormat="1">
      <c r="A60" s="309" t="str">
        <f>HYPERLINK("http://www.wantgoo.com/stock/chart.aspx?stockno=6292","6292")</f>
        <v>6292</v>
      </c>
      <c r="B60" s="310"/>
      <c r="C60" s="311">
        <f>VLOOKUP(6292,季財報!A:H,3)</f>
        <v>0</v>
      </c>
      <c r="D60" s="311">
        <f>VLOOKUP(6292,季財報!A:H,4)</f>
        <v>0</v>
      </c>
      <c r="E60" s="311">
        <f>VLOOKUP(6292,季財報!A:H,5)</f>
        <v>1</v>
      </c>
      <c r="F60" s="311">
        <f>VLOOKUP(6292,季財報!A:H,6)</f>
        <v>1</v>
      </c>
      <c r="G60" s="311">
        <f>VLOOKUP(6292,季財報!A:H,7)</f>
        <v>0</v>
      </c>
      <c r="H60" s="312"/>
      <c r="I60" s="312"/>
      <c r="J60" s="312"/>
      <c r="K60" s="312"/>
      <c r="L60" s="312"/>
      <c r="M60" s="313"/>
      <c r="N60" s="312">
        <f t="shared" si="0"/>
        <v>2</v>
      </c>
      <c r="O60" s="314"/>
      <c r="P60" s="314"/>
      <c r="Q60" s="314"/>
      <c r="R60" s="314"/>
      <c r="S60" s="315"/>
    </row>
    <row r="61" spans="1:20" s="317" customFormat="1">
      <c r="A61" s="309" t="str">
        <f>HYPERLINK("http://www.wantgoo.com/stock/chart.aspx?stockno=4722","4722")</f>
        <v>4722</v>
      </c>
      <c r="B61" s="310"/>
      <c r="C61" s="311">
        <f>VLOOKUP(4722,季財報!A:H,3)</f>
        <v>1</v>
      </c>
      <c r="D61" s="311">
        <f>VLOOKUP(4722,季財報!A:H,4)</f>
        <v>1</v>
      </c>
      <c r="E61" s="311">
        <f>VLOOKUP(4722,季財報!A:H,5)</f>
        <v>0</v>
      </c>
      <c r="F61" s="311">
        <f>VLOOKUP(4722,季財報!A:H,6)</f>
        <v>1</v>
      </c>
      <c r="G61" s="311">
        <f>VLOOKUP(4722,季財報!A:H,7)</f>
        <v>0</v>
      </c>
      <c r="H61" s="312"/>
      <c r="I61" s="312"/>
      <c r="J61" s="312"/>
      <c r="K61" s="312"/>
      <c r="L61" s="312"/>
      <c r="M61" s="313"/>
      <c r="N61" s="312">
        <f t="shared" si="0"/>
        <v>3</v>
      </c>
      <c r="O61" s="314"/>
      <c r="P61" s="314"/>
      <c r="Q61" s="314"/>
      <c r="R61" s="314"/>
      <c r="S61" s="315"/>
    </row>
    <row r="62" spans="1:20" s="317" customFormat="1">
      <c r="A62" s="309" t="str">
        <f>HYPERLINK("http://www.wantgoo.com/stock/chart.aspx?stockno=1736","1736")</f>
        <v>1736</v>
      </c>
      <c r="B62" s="310"/>
      <c r="C62" s="311">
        <f>VLOOKUP(1736,季財報!A:H,3)</f>
        <v>0</v>
      </c>
      <c r="D62" s="311">
        <f>VLOOKUP(1736,季財報!A:H,4)</f>
        <v>1</v>
      </c>
      <c r="E62" s="311">
        <f>VLOOKUP(1736,季財報!A:H,5)</f>
        <v>0</v>
      </c>
      <c r="F62" s="311">
        <f>VLOOKUP(1736,季財報!A:H,6)</f>
        <v>0</v>
      </c>
      <c r="G62" s="311">
        <f>VLOOKUP(1736,季財報!A:H,7)</f>
        <v>0</v>
      </c>
      <c r="H62" s="312"/>
      <c r="I62" s="312"/>
      <c r="J62" s="312"/>
      <c r="K62" s="312"/>
      <c r="L62" s="312"/>
      <c r="M62" s="313"/>
      <c r="N62" s="312">
        <f t="shared" si="0"/>
        <v>1</v>
      </c>
      <c r="O62" s="314"/>
      <c r="P62" s="314"/>
      <c r="Q62" s="314"/>
      <c r="R62" s="314"/>
      <c r="S62" s="315"/>
    </row>
    <row r="63" spans="1:20" s="317" customFormat="1">
      <c r="A63" s="309" t="str">
        <f>HYPERLINK("http://www.wantgoo.com/stock/chart.aspx?stockno=3607","3607")</f>
        <v>3607</v>
      </c>
      <c r="B63" s="310"/>
      <c r="C63" s="311">
        <f>VLOOKUP(3607,季財報!A:H,3)</f>
        <v>0</v>
      </c>
      <c r="D63" s="311">
        <f>VLOOKUP(3607,季財報!A:H,4)</f>
        <v>1</v>
      </c>
      <c r="E63" s="311">
        <f>VLOOKUP(3607,季財報!A:H,5)</f>
        <v>0</v>
      </c>
      <c r="F63" s="311">
        <f>VLOOKUP(3607,季財報!A:H,6)</f>
        <v>1</v>
      </c>
      <c r="G63" s="311">
        <f>VLOOKUP(3607,季財報!A:H,7)</f>
        <v>0</v>
      </c>
      <c r="H63" s="312"/>
      <c r="I63" s="312"/>
      <c r="J63" s="312"/>
      <c r="K63" s="312"/>
      <c r="L63" s="312"/>
      <c r="M63" s="313"/>
      <c r="N63" s="312">
        <f t="shared" si="0"/>
        <v>2</v>
      </c>
      <c r="O63" s="314"/>
      <c r="P63" s="314"/>
      <c r="Q63" s="314"/>
      <c r="R63" s="314"/>
      <c r="S63" s="315"/>
    </row>
    <row r="64" spans="1:20" s="317" customFormat="1">
      <c r="A64" s="309" t="str">
        <f>HYPERLINK("http://www.wantgoo.com/stock/chart.aspx?stockno=2428","2428")</f>
        <v>2428</v>
      </c>
      <c r="B64" s="310"/>
      <c r="C64" s="311">
        <f>VLOOKUP(2428,季財報!A:H,3)</f>
        <v>1</v>
      </c>
      <c r="D64" s="311">
        <f>VLOOKUP(2428,季財報!A:H,4)</f>
        <v>1</v>
      </c>
      <c r="E64" s="311">
        <f>VLOOKUP(2428,季財報!A:H,5)</f>
        <v>0</v>
      </c>
      <c r="F64" s="311">
        <f>VLOOKUP(2428,季財報!A:H,6)</f>
        <v>1</v>
      </c>
      <c r="G64" s="311">
        <f>VLOOKUP(2428,季財報!A:H,7)</f>
        <v>0</v>
      </c>
      <c r="H64" s="312"/>
      <c r="I64" s="312"/>
      <c r="J64" s="312"/>
      <c r="K64" s="312"/>
      <c r="L64" s="312"/>
      <c r="M64" s="313"/>
      <c r="N64" s="312">
        <f t="shared" si="0"/>
        <v>3</v>
      </c>
      <c r="O64" s="314"/>
      <c r="P64" s="314"/>
      <c r="Q64" s="314"/>
      <c r="R64" s="314"/>
      <c r="S64" s="315"/>
    </row>
    <row r="65" spans="1:19" s="317" customFormat="1">
      <c r="A65" s="309" t="str">
        <f>HYPERLINK("http://www.wantgoo.com/stock/chart.aspx?stockno=3213","3213")</f>
        <v>3213</v>
      </c>
      <c r="B65" s="310"/>
      <c r="C65" s="311">
        <f>VLOOKUP(3213,季財報!A:H,3)</f>
        <v>0</v>
      </c>
      <c r="D65" s="311">
        <f>VLOOKUP(3213,季財報!A:H,4)</f>
        <v>1</v>
      </c>
      <c r="E65" s="311">
        <f>VLOOKUP(3213,季財報!A:H,5)</f>
        <v>0</v>
      </c>
      <c r="F65" s="311">
        <f>VLOOKUP(3213,季財報!A:H,6)</f>
        <v>1</v>
      </c>
      <c r="G65" s="311">
        <f>VLOOKUP(3213,季財報!A:H,7)</f>
        <v>0</v>
      </c>
      <c r="H65" s="312"/>
      <c r="I65" s="312"/>
      <c r="J65" s="312"/>
      <c r="K65" s="312"/>
      <c r="L65" s="312"/>
      <c r="M65" s="313"/>
      <c r="N65" s="312">
        <f t="shared" si="0"/>
        <v>2</v>
      </c>
      <c r="O65" s="314"/>
      <c r="P65" s="314"/>
      <c r="Q65" s="314"/>
      <c r="R65" s="314"/>
      <c r="S65" s="315"/>
    </row>
    <row r="66" spans="1:19" s="317" customFormat="1">
      <c r="A66" s="309" t="str">
        <f>HYPERLINK("http://www.wantgoo.com/stock/chart.aspx?stockno=6205","6205")</f>
        <v>6205</v>
      </c>
      <c r="B66" s="310"/>
      <c r="C66" s="311">
        <f>VLOOKUP(6205,季財報!A:H,3)</f>
        <v>1</v>
      </c>
      <c r="D66" s="311">
        <f>VLOOKUP(6205,季財報!A:H,4)</f>
        <v>1</v>
      </c>
      <c r="E66" s="311">
        <f>VLOOKUP(6205,季財報!A:H,5)</f>
        <v>2</v>
      </c>
      <c r="F66" s="311">
        <f>VLOOKUP(6205,季財報!A:H,6)</f>
        <v>1</v>
      </c>
      <c r="G66" s="311">
        <f>VLOOKUP(6205,季財報!A:H,7)</f>
        <v>0</v>
      </c>
      <c r="H66" s="312"/>
      <c r="I66" s="312"/>
      <c r="J66" s="312"/>
      <c r="K66" s="312"/>
      <c r="L66" s="312"/>
      <c r="M66" s="313"/>
      <c r="N66" s="312">
        <f t="shared" si="0"/>
        <v>5</v>
      </c>
      <c r="O66" s="314"/>
      <c r="P66" s="314"/>
      <c r="Q66" s="314"/>
      <c r="R66" s="314"/>
      <c r="S66" s="315"/>
    </row>
    <row r="67" spans="1:19" s="317" customFormat="1">
      <c r="A67" s="309" t="str">
        <f>HYPERLINK("http://www.wantgoo.com/stock/chart.aspx?stockno=8070","8070")</f>
        <v>8070</v>
      </c>
      <c r="B67" s="310"/>
      <c r="C67" s="311">
        <f>VLOOKUP(8070,季財報!A:H,3)</f>
        <v>0</v>
      </c>
      <c r="D67" s="311">
        <f>VLOOKUP(8070,季財報!A:H,4)</f>
        <v>0</v>
      </c>
      <c r="E67" s="311">
        <f>VLOOKUP(8070,季財報!A:H,5)</f>
        <v>0</v>
      </c>
      <c r="F67" s="311">
        <f>VLOOKUP(8070,季財報!A:H,6)</f>
        <v>1</v>
      </c>
      <c r="G67" s="311">
        <f>VLOOKUP(8070,季財報!A:H,7)</f>
        <v>0</v>
      </c>
      <c r="H67" s="312"/>
      <c r="I67" s="312"/>
      <c r="J67" s="312"/>
      <c r="K67" s="312"/>
      <c r="L67" s="312"/>
      <c r="M67" s="313"/>
      <c r="N67" s="312">
        <f t="shared" si="0"/>
        <v>1</v>
      </c>
      <c r="O67" s="314"/>
      <c r="P67" s="314"/>
      <c r="Q67" s="314"/>
      <c r="R67" s="314"/>
      <c r="S67" s="315"/>
    </row>
    <row r="68" spans="1:19" s="317" customFormat="1">
      <c r="A68" s="309" t="str">
        <f>HYPERLINK("http://www.wantgoo.com/stock/chart.aspx?stockno=8424","8424")</f>
        <v>8424</v>
      </c>
      <c r="B68" s="310"/>
      <c r="C68" s="311">
        <f>VLOOKUP(8424,季財報!A:H,3)</f>
        <v>0</v>
      </c>
      <c r="D68" s="311">
        <f>VLOOKUP(8424,季財報!A:H,4)</f>
        <v>1</v>
      </c>
      <c r="E68" s="311">
        <f>VLOOKUP(8424,季財報!A:H,5)</f>
        <v>0</v>
      </c>
      <c r="F68" s="311">
        <f>VLOOKUP(8424,季財報!A:H,6)</f>
        <v>0</v>
      </c>
      <c r="G68" s="311">
        <f>VLOOKUP(8424,季財報!A:H,7)</f>
        <v>0</v>
      </c>
      <c r="H68" s="312"/>
      <c r="I68" s="312"/>
      <c r="J68" s="312"/>
      <c r="K68" s="312"/>
      <c r="L68" s="312"/>
      <c r="M68" s="313"/>
      <c r="N68" s="312">
        <f t="shared" ref="N68:N131" si="1">SUM(C68:M68)</f>
        <v>1</v>
      </c>
      <c r="O68" s="314"/>
      <c r="P68" s="314"/>
      <c r="Q68" s="314"/>
      <c r="R68" s="314"/>
      <c r="S68" s="315"/>
    </row>
    <row r="69" spans="1:19" s="317" customFormat="1">
      <c r="A69" s="309" t="str">
        <f>HYPERLINK("http://www.wantgoo.com/stock/chart.aspx?stockno=2114","2114")</f>
        <v>2114</v>
      </c>
      <c r="B69" s="310"/>
      <c r="C69" s="311">
        <f>VLOOKUP(2114,季財報!A:H,3)</f>
        <v>1</v>
      </c>
      <c r="D69" s="311">
        <f>VLOOKUP(2114,季財報!A:H,4)</f>
        <v>1</v>
      </c>
      <c r="E69" s="311">
        <f>VLOOKUP(2114,季財報!A:H,5)</f>
        <v>1</v>
      </c>
      <c r="F69" s="311">
        <f>VLOOKUP(2114,季財報!A:H,6)</f>
        <v>1</v>
      </c>
      <c r="G69" s="311">
        <f>VLOOKUP(2114,季財報!A:H,7)</f>
        <v>0</v>
      </c>
      <c r="H69" s="312"/>
      <c r="I69" s="312"/>
      <c r="J69" s="312"/>
      <c r="K69" s="312"/>
      <c r="L69" s="312"/>
      <c r="M69" s="313"/>
      <c r="N69" s="312">
        <f t="shared" si="1"/>
        <v>4</v>
      </c>
      <c r="O69" s="314"/>
      <c r="P69" s="314"/>
      <c r="Q69" s="314"/>
      <c r="R69" s="314"/>
      <c r="S69" s="315"/>
    </row>
    <row r="70" spans="1:19" s="317" customFormat="1">
      <c r="A70" s="309" t="str">
        <f>HYPERLINK("http://www.wantgoo.com/stock/chart.aspx?stockno=1262","1262")</f>
        <v>1262</v>
      </c>
      <c r="B70" s="310"/>
      <c r="C70" s="311">
        <f>VLOOKUP(1262,季財報!A:H,3)</f>
        <v>0</v>
      </c>
      <c r="D70" s="311">
        <f>VLOOKUP(1262,季財報!A:H,4)</f>
        <v>1</v>
      </c>
      <c r="E70" s="311">
        <f>VLOOKUP(1262,季財報!A:H,5)</f>
        <v>1</v>
      </c>
      <c r="F70" s="311">
        <f>VLOOKUP(1262,季財報!A:H,6)</f>
        <v>1</v>
      </c>
      <c r="G70" s="311">
        <f>VLOOKUP(1262,季財報!A:H,7)</f>
        <v>0</v>
      </c>
      <c r="H70" s="312"/>
      <c r="I70" s="312"/>
      <c r="J70" s="312"/>
      <c r="K70" s="312"/>
      <c r="L70" s="312"/>
      <c r="M70" s="313"/>
      <c r="N70" s="312">
        <f t="shared" si="1"/>
        <v>3</v>
      </c>
      <c r="O70" s="314"/>
      <c r="P70" s="314"/>
      <c r="Q70" s="314"/>
      <c r="R70" s="314"/>
      <c r="S70" s="315"/>
    </row>
    <row r="71" spans="1:19" s="317" customFormat="1">
      <c r="A71" s="309" t="str">
        <f>HYPERLINK("http://www.wantgoo.com/stock/chart.aspx?stockno=3299","3299")</f>
        <v>3299</v>
      </c>
      <c r="B71" s="310"/>
      <c r="C71" s="311">
        <f>VLOOKUP(3299,季財報!A:H,3)</f>
        <v>0</v>
      </c>
      <c r="D71" s="311">
        <f>VLOOKUP(3299,季財報!A:H,4)</f>
        <v>1</v>
      </c>
      <c r="E71" s="311">
        <f>VLOOKUP(3299,季財報!A:H,5)</f>
        <v>0</v>
      </c>
      <c r="F71" s="311">
        <f>VLOOKUP(3299,季財報!A:H,6)</f>
        <v>1</v>
      </c>
      <c r="G71" s="311">
        <f>VLOOKUP(3299,季財報!A:H,7)</f>
        <v>0</v>
      </c>
      <c r="H71" s="312"/>
      <c r="I71" s="312"/>
      <c r="J71" s="312"/>
      <c r="K71" s="312"/>
      <c r="L71" s="312"/>
      <c r="M71" s="313"/>
      <c r="N71" s="312">
        <f t="shared" si="1"/>
        <v>2</v>
      </c>
      <c r="O71" s="314"/>
      <c r="P71" s="314"/>
      <c r="Q71" s="314"/>
      <c r="R71" s="314"/>
      <c r="S71" s="315"/>
    </row>
    <row r="72" spans="1:19" s="317" customFormat="1">
      <c r="A72" s="309" t="str">
        <f>HYPERLINK("http://www.wantgoo.com/stock/chart.aspx?stockno=6216","6216")</f>
        <v>6216</v>
      </c>
      <c r="B72" s="310"/>
      <c r="C72" s="311">
        <f>VLOOKUP(6216,季財報!A:H,3)</f>
        <v>0</v>
      </c>
      <c r="D72" s="311">
        <f>VLOOKUP(6216,季財報!A:H,4)</f>
        <v>1</v>
      </c>
      <c r="E72" s="311">
        <f>VLOOKUP(6216,季財報!A:H,5)</f>
        <v>0</v>
      </c>
      <c r="F72" s="311">
        <f>VLOOKUP(6216,季財報!A:H,6)</f>
        <v>1</v>
      </c>
      <c r="G72" s="311">
        <f>VLOOKUP(6216,季財報!A:H,7)</f>
        <v>0</v>
      </c>
      <c r="H72" s="312"/>
      <c r="I72" s="312"/>
      <c r="J72" s="312"/>
      <c r="K72" s="312"/>
      <c r="L72" s="312"/>
      <c r="M72" s="313"/>
      <c r="N72" s="312">
        <f t="shared" si="1"/>
        <v>2</v>
      </c>
      <c r="O72" s="314"/>
      <c r="P72" s="314"/>
      <c r="Q72" s="314"/>
      <c r="R72" s="314"/>
      <c r="S72" s="315"/>
    </row>
    <row r="73" spans="1:19" s="317" customFormat="1">
      <c r="A73" s="309" t="str">
        <f>HYPERLINK("http://www.wantgoo.com/stock/chart.aspx?stockno=2441","2441")</f>
        <v>2441</v>
      </c>
      <c r="B73" s="310"/>
      <c r="C73" s="311">
        <f>VLOOKUP(2441,季財報!A:H,3)</f>
        <v>0</v>
      </c>
      <c r="D73" s="311">
        <f>VLOOKUP(2441,季財報!A:H,4)</f>
        <v>1</v>
      </c>
      <c r="E73" s="311">
        <f>VLOOKUP(2441,季財報!A:H,5)</f>
        <v>0</v>
      </c>
      <c r="F73" s="311">
        <f>VLOOKUP(2441,季財報!A:H,6)</f>
        <v>1</v>
      </c>
      <c r="G73" s="311">
        <f>VLOOKUP(2441,季財報!A:H,7)</f>
        <v>0</v>
      </c>
      <c r="H73" s="312"/>
      <c r="I73" s="312"/>
      <c r="J73" s="312"/>
      <c r="K73" s="312"/>
      <c r="L73" s="312"/>
      <c r="M73" s="313"/>
      <c r="N73" s="312">
        <f t="shared" si="1"/>
        <v>2</v>
      </c>
      <c r="O73" s="314"/>
      <c r="P73" s="314"/>
      <c r="Q73" s="314"/>
      <c r="R73" s="314"/>
      <c r="S73" s="315"/>
    </row>
    <row r="74" spans="1:19" s="317" customFormat="1">
      <c r="A74" s="309" t="str">
        <f>HYPERLINK("http://www.wantgoo.com/stock/chart.aspx?stockno=1527","1527")</f>
        <v>1527</v>
      </c>
      <c r="B74" s="310"/>
      <c r="C74" s="311">
        <f>VLOOKUP(1527,季財報!A:H,3)</f>
        <v>1</v>
      </c>
      <c r="D74" s="311">
        <f>VLOOKUP(1527,季財報!A:H,4)</f>
        <v>1</v>
      </c>
      <c r="E74" s="311">
        <f>VLOOKUP(1527,季財報!A:H,5)</f>
        <v>0</v>
      </c>
      <c r="F74" s="311">
        <f>VLOOKUP(1527,季財報!A:H,6)</f>
        <v>0</v>
      </c>
      <c r="G74" s="311">
        <f>VLOOKUP(1527,季財報!A:H,7)</f>
        <v>1</v>
      </c>
      <c r="H74" s="312"/>
      <c r="I74" s="312"/>
      <c r="J74" s="312"/>
      <c r="K74" s="312"/>
      <c r="L74" s="312"/>
      <c r="M74" s="313"/>
      <c r="N74" s="312">
        <f t="shared" si="1"/>
        <v>3</v>
      </c>
      <c r="O74" s="314"/>
      <c r="P74" s="314"/>
      <c r="Q74" s="314"/>
      <c r="R74" s="314"/>
      <c r="S74" s="315"/>
    </row>
    <row r="75" spans="1:19" s="317" customFormat="1">
      <c r="A75" s="309" t="str">
        <f>HYPERLINK("http://www.wantgoo.com/stock/chart.aspx?stockno=3264","3264")</f>
        <v>3264</v>
      </c>
      <c r="B75" s="310"/>
      <c r="C75" s="311">
        <f>VLOOKUP(3264,季財報!A:H,3)</f>
        <v>0</v>
      </c>
      <c r="D75" s="311">
        <f>VLOOKUP(3264,季財報!A:H,4)</f>
        <v>1</v>
      </c>
      <c r="E75" s="311">
        <f>VLOOKUP(3264,季財報!A:H,5)</f>
        <v>2</v>
      </c>
      <c r="F75" s="311">
        <f>VLOOKUP(3264,季財報!A:H,6)</f>
        <v>1</v>
      </c>
      <c r="G75" s="311">
        <f>VLOOKUP(3264,季財報!A:H,7)</f>
        <v>0</v>
      </c>
      <c r="H75" s="312"/>
      <c r="I75" s="312"/>
      <c r="J75" s="312"/>
      <c r="K75" s="312"/>
      <c r="L75" s="312"/>
      <c r="M75" s="313"/>
      <c r="N75" s="312">
        <f t="shared" si="1"/>
        <v>4</v>
      </c>
      <c r="O75" s="314"/>
      <c r="P75" s="314"/>
      <c r="Q75" s="314"/>
      <c r="R75" s="314"/>
      <c r="S75" s="315"/>
    </row>
    <row r="76" spans="1:19" s="317" customFormat="1">
      <c r="A76" s="309" t="str">
        <f>HYPERLINK("http://www.wantgoo.com/stock/chart.aspx?stockno=6185","6185")</f>
        <v>6185</v>
      </c>
      <c r="B76" s="310"/>
      <c r="C76" s="311">
        <f>VLOOKUP(6185,季財報!A:H,3)</f>
        <v>0</v>
      </c>
      <c r="D76" s="311">
        <f>VLOOKUP(6185,季財報!A:H,4)</f>
        <v>1</v>
      </c>
      <c r="E76" s="311">
        <f>VLOOKUP(6185,季財報!A:H,5)</f>
        <v>1</v>
      </c>
      <c r="F76" s="311">
        <f>VLOOKUP(6185,季財報!A:H,6)</f>
        <v>1</v>
      </c>
      <c r="G76" s="311">
        <f>VLOOKUP(6185,季財報!A:H,7)</f>
        <v>0</v>
      </c>
      <c r="H76" s="312"/>
      <c r="I76" s="312"/>
      <c r="J76" s="312"/>
      <c r="K76" s="312"/>
      <c r="L76" s="312"/>
      <c r="M76" s="313"/>
      <c r="N76" s="312">
        <f t="shared" si="1"/>
        <v>3</v>
      </c>
      <c r="O76" s="314"/>
      <c r="P76" s="314"/>
      <c r="Q76" s="314"/>
      <c r="R76" s="314"/>
      <c r="S76" s="315"/>
    </row>
    <row r="77" spans="1:19" s="317" customFormat="1">
      <c r="A77" s="309" t="str">
        <f>HYPERLINK("http://www.wantgoo.com/stock/chart.aspx?stockno=1232","1232")</f>
        <v>1232</v>
      </c>
      <c r="B77" s="310"/>
      <c r="C77" s="311">
        <f>VLOOKUP(1232,季財報!A:H,3)</f>
        <v>0</v>
      </c>
      <c r="D77" s="311">
        <f>VLOOKUP(1232,季財報!A:H,4)</f>
        <v>1</v>
      </c>
      <c r="E77" s="311">
        <f>VLOOKUP(1232,季財報!A:H,5)</f>
        <v>1</v>
      </c>
      <c r="F77" s="311">
        <f>VLOOKUP(1232,季財報!A:H,6)</f>
        <v>1</v>
      </c>
      <c r="G77" s="311">
        <f>VLOOKUP(1232,季財報!A:H,7)</f>
        <v>0</v>
      </c>
      <c r="H77" s="312"/>
      <c r="I77" s="312"/>
      <c r="J77" s="312"/>
      <c r="K77" s="312"/>
      <c r="L77" s="312"/>
      <c r="M77" s="313"/>
      <c r="N77" s="312">
        <f t="shared" si="1"/>
        <v>3</v>
      </c>
      <c r="O77" s="314"/>
      <c r="P77" s="314"/>
      <c r="Q77" s="314"/>
      <c r="R77" s="314"/>
      <c r="S77" s="315"/>
    </row>
    <row r="78" spans="1:19" s="317" customFormat="1">
      <c r="A78" s="309" t="str">
        <f>HYPERLINK("http://www.wantgoo.com/stock/chart.aspx?stockno=1258","1258")</f>
        <v>1258</v>
      </c>
      <c r="B78" s="310"/>
      <c r="C78" s="311">
        <f>VLOOKUP(1258,季財報!A:H,3)</f>
        <v>1</v>
      </c>
      <c r="D78" s="311">
        <f>VLOOKUP(1258,季財報!A:H,4)</f>
        <v>1</v>
      </c>
      <c r="E78" s="311">
        <f>VLOOKUP(1258,季財報!A:H,5)</f>
        <v>2</v>
      </c>
      <c r="F78" s="311">
        <f>VLOOKUP(1258,季財報!A:H,6)</f>
        <v>1</v>
      </c>
      <c r="G78" s="311">
        <f>VLOOKUP(1258,季財報!A:H,7)</f>
        <v>1</v>
      </c>
      <c r="H78" s="312"/>
      <c r="I78" s="312"/>
      <c r="J78" s="312"/>
      <c r="K78" s="312"/>
      <c r="L78" s="312"/>
      <c r="M78" s="313"/>
      <c r="N78" s="312">
        <f t="shared" si="1"/>
        <v>6</v>
      </c>
      <c r="O78" s="314"/>
      <c r="P78" s="314"/>
      <c r="Q78" s="314"/>
      <c r="R78" s="314"/>
      <c r="S78" s="315"/>
    </row>
    <row r="79" spans="1:19" s="317" customFormat="1">
      <c r="A79" s="309" t="str">
        <f>HYPERLINK("http://www.wantgoo.com/stock/chart.aspx?stockno=3272","3272")</f>
        <v>3272</v>
      </c>
      <c r="B79" s="310"/>
      <c r="C79" s="311">
        <f>VLOOKUP(3272,季財報!A:H,3)</f>
        <v>0</v>
      </c>
      <c r="D79" s="311">
        <f>VLOOKUP(3272,季財報!A:H,4)</f>
        <v>1</v>
      </c>
      <c r="E79" s="311">
        <f>VLOOKUP(3272,季財報!A:H,5)</f>
        <v>1</v>
      </c>
      <c r="F79" s="311">
        <f>VLOOKUP(3272,季財報!A:H,6)</f>
        <v>1</v>
      </c>
      <c r="G79" s="311">
        <f>VLOOKUP(3272,季財報!A:H,7)</f>
        <v>0</v>
      </c>
      <c r="H79" s="312"/>
      <c r="I79" s="312"/>
      <c r="J79" s="312"/>
      <c r="K79" s="312"/>
      <c r="L79" s="312"/>
      <c r="M79" s="313"/>
      <c r="N79" s="312">
        <f t="shared" si="1"/>
        <v>3</v>
      </c>
      <c r="O79" s="314"/>
      <c r="P79" s="314"/>
      <c r="Q79" s="314"/>
      <c r="R79" s="314"/>
      <c r="S79" s="315"/>
    </row>
    <row r="80" spans="1:19" s="317" customFormat="1">
      <c r="A80" s="309" t="str">
        <f>HYPERLINK("http://www.wantgoo.com/stock/chart.aspx?stockno=2615","2615")</f>
        <v>2615</v>
      </c>
      <c r="B80" s="310"/>
      <c r="C80" s="311">
        <f>VLOOKUP(2615,季財報!A:H,3)</f>
        <v>0</v>
      </c>
      <c r="D80" s="311">
        <f>VLOOKUP(2615,季財報!A:H,4)</f>
        <v>1</v>
      </c>
      <c r="E80" s="311">
        <f>VLOOKUP(2615,季財報!A:H,5)</f>
        <v>0</v>
      </c>
      <c r="F80" s="311">
        <f>VLOOKUP(2615,季財報!A:H,6)</f>
        <v>1</v>
      </c>
      <c r="G80" s="311">
        <f>VLOOKUP(2615,季財報!A:H,7)</f>
        <v>0</v>
      </c>
      <c r="H80" s="312"/>
      <c r="I80" s="312"/>
      <c r="J80" s="312"/>
      <c r="K80" s="312"/>
      <c r="L80" s="312"/>
      <c r="M80" s="313"/>
      <c r="N80" s="312">
        <f t="shared" si="1"/>
        <v>2</v>
      </c>
      <c r="O80" s="314"/>
      <c r="P80" s="314"/>
      <c r="Q80" s="314"/>
      <c r="R80" s="314"/>
      <c r="S80" s="315"/>
    </row>
    <row r="81" spans="1:19" s="317" customFormat="1">
      <c r="A81" s="309" t="str">
        <f>HYPERLINK("http://www.wantgoo.com/stock/chart.aspx?stockno=6195","6195")</f>
        <v>6195</v>
      </c>
      <c r="B81" s="310"/>
      <c r="C81" s="311">
        <f>VLOOKUP(6195,季財報!A:H,3)</f>
        <v>0</v>
      </c>
      <c r="D81" s="311">
        <f>VLOOKUP(6195,季財報!A:H,4)</f>
        <v>0</v>
      </c>
      <c r="E81" s="311">
        <f>VLOOKUP(6195,季財報!A:H,5)</f>
        <v>0</v>
      </c>
      <c r="F81" s="311">
        <f>VLOOKUP(6195,季財報!A:H,6)</f>
        <v>0</v>
      </c>
      <c r="G81" s="311">
        <f>VLOOKUP(6195,季財報!A:H,7)</f>
        <v>0</v>
      </c>
      <c r="H81" s="312"/>
      <c r="I81" s="312"/>
      <c r="J81" s="312"/>
      <c r="K81" s="312"/>
      <c r="L81" s="312"/>
      <c r="M81" s="313"/>
      <c r="N81" s="312">
        <f t="shared" si="1"/>
        <v>0</v>
      </c>
      <c r="O81" s="314"/>
      <c r="P81" s="314"/>
      <c r="Q81" s="314"/>
      <c r="R81" s="314"/>
      <c r="S81" s="315"/>
    </row>
    <row r="82" spans="1:19" s="317" customFormat="1">
      <c r="A82" s="309" t="str">
        <f>HYPERLINK("http://www.wantgoo.com/stock/chart.aspx?stockno=4417","4417")</f>
        <v>4417</v>
      </c>
      <c r="B82" s="310"/>
      <c r="C82" s="311">
        <f>VLOOKUP(4417,季財報!A:H,3)</f>
        <v>0</v>
      </c>
      <c r="D82" s="311">
        <f>VLOOKUP(4417,季財報!A:H,4)</f>
        <v>1</v>
      </c>
      <c r="E82" s="311">
        <f>VLOOKUP(4417,季財報!A:H,5)</f>
        <v>1</v>
      </c>
      <c r="F82" s="311">
        <f>VLOOKUP(4417,季財報!A:H,6)</f>
        <v>1</v>
      </c>
      <c r="G82" s="311">
        <f>VLOOKUP(4417,季財報!A:H,7)</f>
        <v>0</v>
      </c>
      <c r="H82" s="312"/>
      <c r="I82" s="312"/>
      <c r="J82" s="312"/>
      <c r="K82" s="312"/>
      <c r="L82" s="312"/>
      <c r="M82" s="313"/>
      <c r="N82" s="312">
        <f t="shared" si="1"/>
        <v>3</v>
      </c>
      <c r="O82" s="314"/>
      <c r="P82" s="314"/>
      <c r="Q82" s="314"/>
      <c r="R82" s="314"/>
      <c r="S82" s="315"/>
    </row>
    <row r="83" spans="1:19" s="317" customFormat="1">
      <c r="A83" s="309" t="str">
        <f>HYPERLINK("http://www.wantgoo.com/stock/chart.aspx?stockno=2597","2597")</f>
        <v>2597</v>
      </c>
      <c r="B83" s="310"/>
      <c r="C83" s="311">
        <f>VLOOKUP(2597,季財報!A:H,3)</f>
        <v>0</v>
      </c>
      <c r="D83" s="311">
        <f>VLOOKUP(2597,季財報!A:H,4)</f>
        <v>1</v>
      </c>
      <c r="E83" s="311">
        <f>VLOOKUP(2597,季財報!A:H,5)</f>
        <v>0</v>
      </c>
      <c r="F83" s="311">
        <f>VLOOKUP(2597,季財報!A:H,6)</f>
        <v>1</v>
      </c>
      <c r="G83" s="311">
        <f>VLOOKUP(2597,季財報!A:H,7)</f>
        <v>0</v>
      </c>
      <c r="H83" s="312"/>
      <c r="I83" s="312"/>
      <c r="J83" s="312"/>
      <c r="K83" s="312"/>
      <c r="L83" s="312"/>
      <c r="M83" s="313"/>
      <c r="N83" s="312">
        <f t="shared" si="1"/>
        <v>2</v>
      </c>
      <c r="O83" s="314"/>
      <c r="P83" s="314"/>
      <c r="Q83" s="314"/>
      <c r="R83" s="314"/>
      <c r="S83" s="315"/>
    </row>
    <row r="84" spans="1:19" s="317" customFormat="1">
      <c r="A84" s="309" t="str">
        <f>HYPERLINK("http://www.wantgoo.com/stock/chart.aspx?stockno=1452","1452")</f>
        <v>1452</v>
      </c>
      <c r="B84" s="310"/>
      <c r="C84" s="311">
        <f>VLOOKUP(1452,季財報!A:H,3)</f>
        <v>0</v>
      </c>
      <c r="D84" s="311">
        <f>VLOOKUP(1452,季財報!A:H,4)</f>
        <v>1</v>
      </c>
      <c r="E84" s="311">
        <f>VLOOKUP(1452,季財報!A:H,5)</f>
        <v>0</v>
      </c>
      <c r="F84" s="311">
        <f>VLOOKUP(1452,季財報!A:H,6)</f>
        <v>1</v>
      </c>
      <c r="G84" s="311">
        <f>VLOOKUP(1452,季財報!A:H,7)</f>
        <v>0</v>
      </c>
      <c r="H84" s="312"/>
      <c r="I84" s="312"/>
      <c r="J84" s="312"/>
      <c r="K84" s="312"/>
      <c r="L84" s="312"/>
      <c r="M84" s="313"/>
      <c r="N84" s="312">
        <f t="shared" si="1"/>
        <v>2</v>
      </c>
      <c r="O84" s="314"/>
      <c r="P84" s="314"/>
      <c r="Q84" s="314"/>
      <c r="R84" s="314"/>
      <c r="S84" s="315"/>
    </row>
    <row r="85" spans="1:19" s="317" customFormat="1">
      <c r="A85" s="309" t="str">
        <f>HYPERLINK("http://www.wantgoo.com/stock/chart.aspx?stockno=2108","2108")</f>
        <v>2108</v>
      </c>
      <c r="B85" s="310"/>
      <c r="C85" s="311">
        <f>VLOOKUP(2108,季財報!A:H,3)</f>
        <v>1</v>
      </c>
      <c r="D85" s="311">
        <f>VLOOKUP(2108,季財報!A:H,4)</f>
        <v>1</v>
      </c>
      <c r="E85" s="311">
        <f>VLOOKUP(2108,季財報!A:H,5)</f>
        <v>0</v>
      </c>
      <c r="F85" s="311">
        <f>VLOOKUP(2108,季財報!A:H,6)</f>
        <v>1</v>
      </c>
      <c r="G85" s="311">
        <f>VLOOKUP(2108,季財報!A:H,7)</f>
        <v>0</v>
      </c>
      <c r="H85" s="312"/>
      <c r="I85" s="312"/>
      <c r="J85" s="312"/>
      <c r="K85" s="312"/>
      <c r="L85" s="312"/>
      <c r="M85" s="313"/>
      <c r="N85" s="312">
        <f t="shared" si="1"/>
        <v>3</v>
      </c>
      <c r="O85" s="314"/>
      <c r="P85" s="314"/>
      <c r="Q85" s="314"/>
      <c r="R85" s="314"/>
      <c r="S85" s="315"/>
    </row>
    <row r="86" spans="1:19" s="317" customFormat="1">
      <c r="A86" s="309" t="str">
        <f>HYPERLINK("http://www.wantgoo.com/stock/chart.aspx?stockno=1570","1570")</f>
        <v>1570</v>
      </c>
      <c r="B86" s="310"/>
      <c r="C86" s="311">
        <f>VLOOKUP(1570,季財報!A:H,3)</f>
        <v>1</v>
      </c>
      <c r="D86" s="311">
        <f>VLOOKUP(1570,季財報!A:H,4)</f>
        <v>1</v>
      </c>
      <c r="E86" s="311">
        <f>VLOOKUP(1570,季財報!A:H,5)</f>
        <v>2</v>
      </c>
      <c r="F86" s="311">
        <f>VLOOKUP(1570,季財報!A:H,6)</f>
        <v>1</v>
      </c>
      <c r="G86" s="311">
        <f>VLOOKUP(1570,季財報!A:H,7)</f>
        <v>0</v>
      </c>
      <c r="H86" s="312"/>
      <c r="I86" s="312"/>
      <c r="J86" s="312"/>
      <c r="K86" s="312"/>
      <c r="L86" s="312"/>
      <c r="M86" s="313"/>
      <c r="N86" s="312">
        <f t="shared" si="1"/>
        <v>5</v>
      </c>
      <c r="O86" s="314"/>
      <c r="P86" s="314"/>
      <c r="Q86" s="314"/>
      <c r="R86" s="314"/>
      <c r="S86" s="315"/>
    </row>
    <row r="87" spans="1:19" s="317" customFormat="1">
      <c r="A87" s="309" t="str">
        <f>HYPERLINK("http://www.wantgoo.com/stock/chart.aspx?stockno=2501","2501")</f>
        <v>2501</v>
      </c>
      <c r="B87" s="310"/>
      <c r="C87" s="311">
        <f>VLOOKUP(2501,季財報!A:H,3)</f>
        <v>0</v>
      </c>
      <c r="D87" s="311">
        <f>VLOOKUP(2501,季財報!A:H,4)</f>
        <v>0</v>
      </c>
      <c r="E87" s="311">
        <f>VLOOKUP(2501,季財報!A:H,5)</f>
        <v>0</v>
      </c>
      <c r="F87" s="311">
        <f>VLOOKUP(2501,季財報!A:H,6)</f>
        <v>0</v>
      </c>
      <c r="G87" s="311">
        <f>VLOOKUP(2501,季財報!A:H,7)</f>
        <v>0</v>
      </c>
      <c r="H87" s="312"/>
      <c r="I87" s="312"/>
      <c r="J87" s="312"/>
      <c r="K87" s="312"/>
      <c r="L87" s="312"/>
      <c r="M87" s="313"/>
      <c r="N87" s="312">
        <f t="shared" si="1"/>
        <v>0</v>
      </c>
      <c r="O87" s="314"/>
      <c r="P87" s="314"/>
      <c r="Q87" s="314"/>
      <c r="R87" s="314"/>
      <c r="S87" s="315"/>
    </row>
    <row r="88" spans="1:19" s="317" customFormat="1">
      <c r="A88" s="309" t="str">
        <f>HYPERLINK("http://www.wantgoo.com/stock/chart.aspx?stockno=6207","6207")</f>
        <v>6207</v>
      </c>
      <c r="B88" s="310"/>
      <c r="C88" s="311">
        <f>VLOOKUP(6207,季財報!A:H,3)</f>
        <v>1</v>
      </c>
      <c r="D88" s="311">
        <f>VLOOKUP(6207,季財報!A:H,4)</f>
        <v>1</v>
      </c>
      <c r="E88" s="311">
        <f>VLOOKUP(6207,季財報!A:H,5)</f>
        <v>1</v>
      </c>
      <c r="F88" s="311">
        <f>VLOOKUP(6207,季財報!A:H,6)</f>
        <v>1</v>
      </c>
      <c r="G88" s="311">
        <f>VLOOKUP(6207,季財報!A:H,7)</f>
        <v>0</v>
      </c>
      <c r="H88" s="312"/>
      <c r="I88" s="312"/>
      <c r="J88" s="312"/>
      <c r="K88" s="312"/>
      <c r="L88" s="312"/>
      <c r="M88" s="313"/>
      <c r="N88" s="312">
        <f t="shared" si="1"/>
        <v>4</v>
      </c>
      <c r="O88" s="314"/>
      <c r="P88" s="314"/>
      <c r="Q88" s="314"/>
      <c r="R88" s="314"/>
      <c r="S88" s="315"/>
    </row>
    <row r="89" spans="1:19" s="317" customFormat="1">
      <c r="A89" s="309" t="str">
        <f>HYPERLINK("http://www.wantgoo.com/stock/chart.aspx?stockno=5201","5201")</f>
        <v>5201</v>
      </c>
      <c r="B89" s="310"/>
      <c r="C89" s="311">
        <f>VLOOKUP(5201,季財報!A:H,3)</f>
        <v>1</v>
      </c>
      <c r="D89" s="311">
        <f>VLOOKUP(5201,季財報!A:H,4)</f>
        <v>1</v>
      </c>
      <c r="E89" s="311">
        <f>VLOOKUP(5201,季財報!A:H,5)</f>
        <v>2</v>
      </c>
      <c r="F89" s="311">
        <f>VLOOKUP(5201,季財報!A:H,6)</f>
        <v>0</v>
      </c>
      <c r="G89" s="311">
        <f>VLOOKUP(5201,季財報!A:H,7)</f>
        <v>0</v>
      </c>
      <c r="H89" s="312"/>
      <c r="I89" s="312"/>
      <c r="J89" s="312"/>
      <c r="K89" s="312"/>
      <c r="L89" s="312"/>
      <c r="M89" s="313"/>
      <c r="N89" s="312">
        <f t="shared" si="1"/>
        <v>4</v>
      </c>
      <c r="O89" s="314"/>
      <c r="P89" s="314"/>
      <c r="Q89" s="314"/>
      <c r="R89" s="314"/>
      <c r="S89" s="315"/>
    </row>
    <row r="90" spans="1:19" s="317" customFormat="1">
      <c r="A90" s="309" t="str">
        <f>HYPERLINK("http://www.wantgoo.com/stock/chart.aspx?stockno=4974","4974")</f>
        <v>4974</v>
      </c>
      <c r="B90" s="310"/>
      <c r="C90" s="311">
        <f>VLOOKUP(4974,季財報!A:H,3)</f>
        <v>1</v>
      </c>
      <c r="D90" s="311">
        <f>VLOOKUP(4974,季財報!A:H,4)</f>
        <v>1</v>
      </c>
      <c r="E90" s="311">
        <f>VLOOKUP(4974,季財報!A:H,5)</f>
        <v>0</v>
      </c>
      <c r="F90" s="311">
        <f>VLOOKUP(4974,季財報!A:H,6)</f>
        <v>0</v>
      </c>
      <c r="G90" s="311">
        <f>VLOOKUP(4974,季財報!A:H,7)</f>
        <v>0</v>
      </c>
      <c r="H90" s="312"/>
      <c r="I90" s="312"/>
      <c r="J90" s="312"/>
      <c r="K90" s="312"/>
      <c r="L90" s="312"/>
      <c r="M90" s="313"/>
      <c r="N90" s="312">
        <f t="shared" si="1"/>
        <v>2</v>
      </c>
      <c r="O90" s="314"/>
      <c r="P90" s="314"/>
      <c r="Q90" s="314"/>
      <c r="R90" s="314"/>
      <c r="S90" s="315"/>
    </row>
    <row r="91" spans="1:19" s="317" customFormat="1">
      <c r="A91" s="309" t="str">
        <f>HYPERLINK("http://www.wantgoo.com/stock/chart.aspx?stockno=2488","2488")</f>
        <v>2488</v>
      </c>
      <c r="B91" s="310"/>
      <c r="C91" s="311">
        <f>VLOOKUP(2488,季財報!A:H,3)</f>
        <v>1</v>
      </c>
      <c r="D91" s="311">
        <f>VLOOKUP(2488,季財報!A:H,4)</f>
        <v>1</v>
      </c>
      <c r="E91" s="311">
        <f>VLOOKUP(2488,季財報!A:H,5)</f>
        <v>1</v>
      </c>
      <c r="F91" s="311">
        <f>VLOOKUP(2488,季財報!A:H,6)</f>
        <v>1</v>
      </c>
      <c r="G91" s="311">
        <f>VLOOKUP(2488,季財報!A:H,7)</f>
        <v>0</v>
      </c>
      <c r="H91" s="312"/>
      <c r="I91" s="312"/>
      <c r="J91" s="312"/>
      <c r="K91" s="312"/>
      <c r="L91" s="312"/>
      <c r="M91" s="313"/>
      <c r="N91" s="312">
        <f t="shared" si="1"/>
        <v>4</v>
      </c>
      <c r="O91" s="314"/>
      <c r="P91" s="314"/>
      <c r="Q91" s="314"/>
      <c r="R91" s="314"/>
      <c r="S91" s="315"/>
    </row>
    <row r="92" spans="1:19" s="317" customFormat="1">
      <c r="A92" s="309" t="str">
        <f>HYPERLINK("http://www.wantgoo.com/stock/chart.aspx?stockno=2451","2451")</f>
        <v>2451</v>
      </c>
      <c r="B92" s="310"/>
      <c r="C92" s="311">
        <f>VLOOKUP(2451,季財報!A:H,3)</f>
        <v>1</v>
      </c>
      <c r="D92" s="311">
        <f>VLOOKUP(2451,季財報!A:H,4)</f>
        <v>1</v>
      </c>
      <c r="E92" s="311">
        <f>VLOOKUP(2451,季財報!A:H,5)</f>
        <v>0</v>
      </c>
      <c r="F92" s="311">
        <f>VLOOKUP(2451,季財報!A:H,6)</f>
        <v>1</v>
      </c>
      <c r="G92" s="311">
        <f>VLOOKUP(2451,季財報!A:H,7)</f>
        <v>0</v>
      </c>
      <c r="H92" s="312"/>
      <c r="I92" s="312"/>
      <c r="J92" s="312"/>
      <c r="K92" s="312"/>
      <c r="L92" s="312"/>
      <c r="M92" s="313"/>
      <c r="N92" s="312">
        <f t="shared" si="1"/>
        <v>3</v>
      </c>
      <c r="O92" s="314"/>
      <c r="P92" s="314"/>
      <c r="Q92" s="314"/>
      <c r="R92" s="314"/>
      <c r="S92" s="315"/>
    </row>
    <row r="93" spans="1:19" s="317" customFormat="1">
      <c r="A93" s="309" t="str">
        <f>HYPERLINK("http://www.wantgoo.com/stock/chart.aspx?stockno=6120","6120")</f>
        <v>6120</v>
      </c>
      <c r="B93" s="310"/>
      <c r="C93" s="311">
        <f>VLOOKUP(6120,季財報!A:H,3)</f>
        <v>0</v>
      </c>
      <c r="D93" s="311">
        <f>VLOOKUP(6120,季財報!A:H,4)</f>
        <v>0</v>
      </c>
      <c r="E93" s="311">
        <f>VLOOKUP(6120,季財報!A:H,5)</f>
        <v>0</v>
      </c>
      <c r="F93" s="311">
        <f>VLOOKUP(6120,季財報!A:H,6)</f>
        <v>0</v>
      </c>
      <c r="G93" s="311">
        <f>VLOOKUP(6120,季財報!A:H,7)</f>
        <v>0</v>
      </c>
      <c r="H93" s="312"/>
      <c r="I93" s="312"/>
      <c r="J93" s="312"/>
      <c r="K93" s="312"/>
      <c r="L93" s="312"/>
      <c r="M93" s="313"/>
      <c r="N93" s="312">
        <f t="shared" si="1"/>
        <v>0</v>
      </c>
      <c r="O93" s="314"/>
      <c r="P93" s="314"/>
      <c r="Q93" s="314"/>
      <c r="R93" s="314"/>
      <c r="S93" s="315"/>
    </row>
    <row r="94" spans="1:19" s="317" customFormat="1">
      <c r="A94" s="309" t="str">
        <f>HYPERLINK("http://www.wantgoo.com/stock/chart.aspx?stockno=3693","3693")</f>
        <v>3693</v>
      </c>
      <c r="B94" s="310"/>
      <c r="C94" s="311">
        <f>VLOOKUP(3693,季財報!A:H,3)</f>
        <v>1</v>
      </c>
      <c r="D94" s="311">
        <f>VLOOKUP(3693,季財報!A:H,4)</f>
        <v>1</v>
      </c>
      <c r="E94" s="311">
        <f>VLOOKUP(3693,季財報!A:H,5)</f>
        <v>1</v>
      </c>
      <c r="F94" s="311">
        <f>VLOOKUP(3693,季財報!A:H,6)</f>
        <v>1</v>
      </c>
      <c r="G94" s="311">
        <f>VLOOKUP(3693,季財報!A:H,7)</f>
        <v>0</v>
      </c>
      <c r="H94" s="312"/>
      <c r="I94" s="312"/>
      <c r="J94" s="312"/>
      <c r="K94" s="312"/>
      <c r="L94" s="312"/>
      <c r="M94" s="313"/>
      <c r="N94" s="312">
        <f t="shared" si="1"/>
        <v>4</v>
      </c>
      <c r="O94" s="314"/>
      <c r="P94" s="314"/>
      <c r="Q94" s="314"/>
      <c r="R94" s="314"/>
      <c r="S94" s="315"/>
    </row>
    <row r="95" spans="1:19" s="317" customFormat="1">
      <c r="A95" s="309" t="str">
        <f>HYPERLINK("http://www.wantgoo.com/stock/chart.aspx?stockno=2330","2330")</f>
        <v>2330</v>
      </c>
      <c r="B95" s="310"/>
      <c r="C95" s="311">
        <f>VLOOKUP(2330,季財報!A:H,3)</f>
        <v>0</v>
      </c>
      <c r="D95" s="311">
        <f>VLOOKUP(2330,季財報!A:H,4)</f>
        <v>0</v>
      </c>
      <c r="E95" s="311">
        <f>VLOOKUP(2330,季財報!A:H,5)</f>
        <v>1</v>
      </c>
      <c r="F95" s="311">
        <f>VLOOKUP(2330,季財報!A:H,6)</f>
        <v>1</v>
      </c>
      <c r="G95" s="311">
        <f>VLOOKUP(2330,季財報!A:H,7)</f>
        <v>0</v>
      </c>
      <c r="H95" s="312"/>
      <c r="I95" s="312"/>
      <c r="J95" s="312"/>
      <c r="K95" s="312"/>
      <c r="L95" s="312"/>
      <c r="M95" s="313"/>
      <c r="N95" s="312">
        <f t="shared" si="1"/>
        <v>2</v>
      </c>
      <c r="O95" s="314"/>
      <c r="P95" s="314"/>
      <c r="Q95" s="314"/>
      <c r="R95" s="314"/>
      <c r="S95" s="315"/>
    </row>
    <row r="96" spans="1:19" s="317" customFormat="1">
      <c r="A96" s="309" t="str">
        <f>HYPERLINK("http://www.wantgoo.com/stock/chart.aspx?stockno=4995","4995")</f>
        <v>4995</v>
      </c>
      <c r="B96" s="310"/>
      <c r="C96" s="311">
        <f>VLOOKUP(4995,季財報!A:H,3)</f>
        <v>0</v>
      </c>
      <c r="D96" s="311">
        <f>VLOOKUP(4995,季財報!A:H,4)</f>
        <v>1</v>
      </c>
      <c r="E96" s="311">
        <f>VLOOKUP(4995,季財報!A:H,5)</f>
        <v>0</v>
      </c>
      <c r="F96" s="311">
        <f>VLOOKUP(4995,季財報!A:H,6)</f>
        <v>1</v>
      </c>
      <c r="G96" s="311">
        <f>VLOOKUP(4995,季財報!A:H,7)</f>
        <v>0</v>
      </c>
      <c r="H96" s="312"/>
      <c r="I96" s="312"/>
      <c r="J96" s="312"/>
      <c r="K96" s="312"/>
      <c r="L96" s="312"/>
      <c r="M96" s="313"/>
      <c r="N96" s="312">
        <f t="shared" si="1"/>
        <v>2</v>
      </c>
      <c r="O96" s="314"/>
      <c r="P96" s="314"/>
      <c r="Q96" s="314"/>
      <c r="R96" s="314"/>
      <c r="S96" s="315"/>
    </row>
    <row r="97" spans="1:19" s="317" customFormat="1">
      <c r="A97" s="309" t="str">
        <f>HYPERLINK("http://www.wantgoo.com/stock/chart.aspx?stockno=8942","8942")</f>
        <v>8942</v>
      </c>
      <c r="B97" s="310"/>
      <c r="C97" s="311">
        <f>VLOOKUP(8942,季財報!A:H,3)</f>
        <v>1</v>
      </c>
      <c r="D97" s="311">
        <f>VLOOKUP(8942,季財報!A:H,4)</f>
        <v>1</v>
      </c>
      <c r="E97" s="311">
        <f>VLOOKUP(8942,季財報!A:H,5)</f>
        <v>0</v>
      </c>
      <c r="F97" s="311">
        <f>VLOOKUP(8942,季財報!A:H,6)</f>
        <v>1</v>
      </c>
      <c r="G97" s="311">
        <f>VLOOKUP(8942,季財報!A:H,7)</f>
        <v>0</v>
      </c>
      <c r="H97" s="312"/>
      <c r="I97" s="312"/>
      <c r="J97" s="312"/>
      <c r="K97" s="312"/>
      <c r="L97" s="312"/>
      <c r="M97" s="313"/>
      <c r="N97" s="312">
        <f t="shared" si="1"/>
        <v>3</v>
      </c>
      <c r="O97" s="314"/>
      <c r="P97" s="314"/>
      <c r="Q97" s="314"/>
      <c r="R97" s="314"/>
      <c r="S97" s="315"/>
    </row>
    <row r="98" spans="1:19" s="317" customFormat="1">
      <c r="A98" s="309" t="str">
        <f>HYPERLINK("http://www.wantgoo.com/stock/chart.aspx?stockno=1582","1582")</f>
        <v>1582</v>
      </c>
      <c r="B98" s="310"/>
      <c r="C98" s="311">
        <f>VLOOKUP(1582,季財報!A:H,3)</f>
        <v>1</v>
      </c>
      <c r="D98" s="311">
        <f>VLOOKUP(1582,季財報!A:H,4)</f>
        <v>1</v>
      </c>
      <c r="E98" s="311">
        <f>VLOOKUP(1582,季財報!A:H,5)</f>
        <v>0</v>
      </c>
      <c r="F98" s="311">
        <f>VLOOKUP(1582,季財報!A:H,6)</f>
        <v>1</v>
      </c>
      <c r="G98" s="311">
        <f>VLOOKUP(1582,季財報!A:H,7)</f>
        <v>0</v>
      </c>
      <c r="H98" s="312"/>
      <c r="I98" s="312"/>
      <c r="J98" s="312"/>
      <c r="K98" s="312"/>
      <c r="L98" s="312"/>
      <c r="M98" s="313"/>
      <c r="N98" s="312">
        <f t="shared" si="1"/>
        <v>3</v>
      </c>
      <c r="O98" s="314"/>
      <c r="P98" s="314"/>
      <c r="Q98" s="314"/>
      <c r="R98" s="314"/>
      <c r="S98" s="315"/>
    </row>
    <row r="99" spans="1:19" s="317" customFormat="1">
      <c r="A99" s="309" t="str">
        <f>HYPERLINK("http://www.wantgoo.com/stock/chart.aspx?stockno=8905","8905")</f>
        <v>8905</v>
      </c>
      <c r="B99" s="310"/>
      <c r="C99" s="311">
        <f>VLOOKUP(8905,季財報!A:H,3)</f>
        <v>0</v>
      </c>
      <c r="D99" s="311">
        <f>VLOOKUP(8905,季財報!A:H,4)</f>
        <v>1</v>
      </c>
      <c r="E99" s="311">
        <f>VLOOKUP(8905,季財報!A:H,5)</f>
        <v>0</v>
      </c>
      <c r="F99" s="311">
        <f>VLOOKUP(8905,季財報!A:H,6)</f>
        <v>0</v>
      </c>
      <c r="G99" s="311">
        <f>VLOOKUP(8905,季財報!A:H,7)</f>
        <v>0</v>
      </c>
      <c r="H99" s="312"/>
      <c r="I99" s="312"/>
      <c r="J99" s="312"/>
      <c r="K99" s="312"/>
      <c r="L99" s="312"/>
      <c r="M99" s="313"/>
      <c r="N99" s="312">
        <f t="shared" si="1"/>
        <v>1</v>
      </c>
      <c r="O99" s="314"/>
      <c r="P99" s="314"/>
      <c r="Q99" s="314"/>
      <c r="R99" s="314"/>
      <c r="S99" s="315"/>
    </row>
    <row r="100" spans="1:19" s="317" customFormat="1">
      <c r="A100" s="309" t="str">
        <f>HYPERLINK("http://www.wantgoo.com/stock/chart.aspx?stockno=2404","2404")</f>
        <v>2404</v>
      </c>
      <c r="B100" s="310"/>
      <c r="C100" s="311">
        <f>VLOOKUP(2404,季財報!A:H,3)</f>
        <v>0</v>
      </c>
      <c r="D100" s="311">
        <f>VLOOKUP(2404,季財報!A:H,4)</f>
        <v>1</v>
      </c>
      <c r="E100" s="311">
        <f>VLOOKUP(2404,季財報!A:H,5)</f>
        <v>1</v>
      </c>
      <c r="F100" s="311">
        <f>VLOOKUP(2404,季財報!A:H,6)</f>
        <v>1</v>
      </c>
      <c r="G100" s="311">
        <f>VLOOKUP(2404,季財報!A:H,7)</f>
        <v>0</v>
      </c>
      <c r="H100" s="312"/>
      <c r="I100" s="312"/>
      <c r="J100" s="312"/>
      <c r="K100" s="312"/>
      <c r="L100" s="312"/>
      <c r="M100" s="313"/>
      <c r="N100" s="312">
        <f t="shared" si="1"/>
        <v>3</v>
      </c>
      <c r="O100" s="314"/>
      <c r="P100" s="314"/>
      <c r="Q100" s="314"/>
      <c r="R100" s="314"/>
      <c r="S100" s="315"/>
    </row>
    <row r="101" spans="1:19" s="317" customFormat="1">
      <c r="A101" s="309" t="str">
        <f>HYPERLINK("http://www.wantgoo.com/stock/chart.aspx?stockno=5234","5234")</f>
        <v>5234</v>
      </c>
      <c r="B101" s="310"/>
      <c r="C101" s="311">
        <f>VLOOKUP(5234,季財報!A:H,3)</f>
        <v>0</v>
      </c>
      <c r="D101" s="311">
        <f>VLOOKUP(5234,季財報!A:H,4)</f>
        <v>1</v>
      </c>
      <c r="E101" s="311">
        <f>VLOOKUP(5234,季財報!A:H,5)</f>
        <v>1</v>
      </c>
      <c r="F101" s="311">
        <f>VLOOKUP(5234,季財報!A:H,6)</f>
        <v>1</v>
      </c>
      <c r="G101" s="311">
        <f>VLOOKUP(5234,季財報!A:H,7)</f>
        <v>0</v>
      </c>
      <c r="H101" s="312"/>
      <c r="I101" s="312"/>
      <c r="J101" s="312"/>
      <c r="K101" s="312"/>
      <c r="L101" s="312"/>
      <c r="M101" s="313"/>
      <c r="N101" s="312">
        <f t="shared" si="1"/>
        <v>3</v>
      </c>
      <c r="O101" s="314"/>
      <c r="P101" s="314"/>
      <c r="Q101" s="314"/>
      <c r="R101" s="314"/>
      <c r="S101" s="315"/>
    </row>
    <row r="102" spans="1:19" s="317" customFormat="1">
      <c r="A102" s="309" t="str">
        <f>HYPERLINK("http://www.wantgoo.com/stock/chart.aspx?stockno=5534","5534")</f>
        <v>5534</v>
      </c>
      <c r="B102" s="310"/>
      <c r="C102" s="311">
        <f>VLOOKUP(5534,季財報!A:H,3)</f>
        <v>0</v>
      </c>
      <c r="D102" s="311">
        <f>VLOOKUP(5534,季財報!A:H,4)</f>
        <v>1</v>
      </c>
      <c r="E102" s="311">
        <f>VLOOKUP(5534,季財報!A:H,5)</f>
        <v>0</v>
      </c>
      <c r="F102" s="311">
        <f>VLOOKUP(5534,季財報!A:H,6)</f>
        <v>1</v>
      </c>
      <c r="G102" s="311">
        <f>VLOOKUP(5534,季財報!A:H,7)</f>
        <v>0</v>
      </c>
      <c r="H102" s="312"/>
      <c r="I102" s="312"/>
      <c r="J102" s="312"/>
      <c r="K102" s="312"/>
      <c r="L102" s="312"/>
      <c r="M102" s="313"/>
      <c r="N102" s="312">
        <f t="shared" si="1"/>
        <v>2</v>
      </c>
      <c r="O102" s="314"/>
      <c r="P102" s="314"/>
      <c r="Q102" s="314"/>
      <c r="R102" s="314"/>
      <c r="S102" s="315"/>
    </row>
    <row r="103" spans="1:19" s="317" customFormat="1">
      <c r="A103" s="309" t="str">
        <f>HYPERLINK("http://www.wantgoo.com/stock/chart.aspx?stockno=8420","8420")</f>
        <v>8420</v>
      </c>
      <c r="B103" s="310"/>
      <c r="C103" s="311">
        <f>VLOOKUP(8420,季財報!A:H,3)</f>
        <v>0</v>
      </c>
      <c r="D103" s="311">
        <f>VLOOKUP(8420,季財報!A:H,4)</f>
        <v>1</v>
      </c>
      <c r="E103" s="311">
        <f>VLOOKUP(8420,季財報!A:H,5)</f>
        <v>0</v>
      </c>
      <c r="F103" s="311">
        <f>VLOOKUP(8420,季財報!A:H,6)</f>
        <v>1</v>
      </c>
      <c r="G103" s="311">
        <f>VLOOKUP(8420,季財報!A:H,7)</f>
        <v>0</v>
      </c>
      <c r="H103" s="312"/>
      <c r="I103" s="312"/>
      <c r="J103" s="312"/>
      <c r="K103" s="312"/>
      <c r="L103" s="312"/>
      <c r="M103" s="313"/>
      <c r="N103" s="312">
        <f t="shared" si="1"/>
        <v>2</v>
      </c>
      <c r="O103" s="314"/>
      <c r="P103" s="314"/>
      <c r="Q103" s="314"/>
      <c r="R103" s="314"/>
      <c r="S103" s="315"/>
    </row>
    <row r="104" spans="1:19" s="317" customFormat="1">
      <c r="A104" s="309" t="str">
        <f>HYPERLINK("http://www.wantgoo.com/stock/chart.aspx?stockno=4972","4972")</f>
        <v>4972</v>
      </c>
      <c r="B104" s="310"/>
      <c r="C104" s="311">
        <f>VLOOKUP(4972,季財報!A:H,3)</f>
        <v>1</v>
      </c>
      <c r="D104" s="311">
        <f>VLOOKUP(4972,季財報!A:H,4)</f>
        <v>1</v>
      </c>
      <c r="E104" s="311">
        <f>VLOOKUP(4972,季財報!A:H,5)</f>
        <v>0</v>
      </c>
      <c r="F104" s="311">
        <f>VLOOKUP(4972,季財報!A:H,6)</f>
        <v>1</v>
      </c>
      <c r="G104" s="311">
        <f>VLOOKUP(4972,季財報!A:H,7)</f>
        <v>0</v>
      </c>
      <c r="H104" s="312"/>
      <c r="I104" s="312"/>
      <c r="J104" s="312"/>
      <c r="K104" s="312"/>
      <c r="L104" s="312"/>
      <c r="M104" s="313"/>
      <c r="N104" s="312">
        <f t="shared" si="1"/>
        <v>3</v>
      </c>
      <c r="O104" s="314"/>
      <c r="P104" s="314"/>
      <c r="Q104" s="314"/>
      <c r="R104" s="314"/>
      <c r="S104" s="315"/>
    </row>
    <row r="105" spans="1:19" s="317" customFormat="1">
      <c r="A105" s="309" t="str">
        <f>HYPERLINK("http://www.wantgoo.com/stock/chart.aspx?stockno=5464","5464")</f>
        <v>5464</v>
      </c>
      <c r="B105" s="310"/>
      <c r="C105" s="311">
        <f>VLOOKUP(5464,季財報!A:H,3)</f>
        <v>0</v>
      </c>
      <c r="D105" s="311">
        <f>VLOOKUP(5464,季財報!A:H,4)</f>
        <v>1</v>
      </c>
      <c r="E105" s="311">
        <f>VLOOKUP(5464,季財報!A:H,5)</f>
        <v>0</v>
      </c>
      <c r="F105" s="311">
        <f>VLOOKUP(5464,季財報!A:H,6)</f>
        <v>1</v>
      </c>
      <c r="G105" s="311">
        <f>VLOOKUP(5464,季財報!A:H,7)</f>
        <v>0</v>
      </c>
      <c r="H105" s="312"/>
      <c r="I105" s="312"/>
      <c r="J105" s="312"/>
      <c r="K105" s="312"/>
      <c r="L105" s="312"/>
      <c r="M105" s="313"/>
      <c r="N105" s="312">
        <f t="shared" si="1"/>
        <v>2</v>
      </c>
      <c r="O105" s="314"/>
      <c r="P105" s="314"/>
      <c r="Q105" s="314"/>
      <c r="R105" s="314"/>
      <c r="S105" s="315"/>
    </row>
    <row r="106" spans="1:19" s="317" customFormat="1">
      <c r="A106" s="309" t="str">
        <f>HYPERLINK("http://www.wantgoo.com/stock/chart.aspx?stockno=1583","1583")</f>
        <v>1583</v>
      </c>
      <c r="B106" s="310"/>
      <c r="C106" s="311">
        <f>VLOOKUP(1583,季財報!A:H,3)</f>
        <v>0</v>
      </c>
      <c r="D106" s="311">
        <f>VLOOKUP(1583,季財報!A:H,4)</f>
        <v>1</v>
      </c>
      <c r="E106" s="311">
        <f>VLOOKUP(1583,季財報!A:H,5)</f>
        <v>0</v>
      </c>
      <c r="F106" s="311">
        <f>VLOOKUP(1583,季財報!A:H,6)</f>
        <v>0</v>
      </c>
      <c r="G106" s="311">
        <f>VLOOKUP(1583,季財報!A:H,7)</f>
        <v>0</v>
      </c>
      <c r="H106" s="312"/>
      <c r="I106" s="312"/>
      <c r="J106" s="312"/>
      <c r="K106" s="312"/>
      <c r="L106" s="312"/>
      <c r="M106" s="313"/>
      <c r="N106" s="312">
        <f t="shared" si="1"/>
        <v>1</v>
      </c>
      <c r="O106" s="314"/>
      <c r="P106" s="314"/>
      <c r="Q106" s="314"/>
      <c r="R106" s="314"/>
      <c r="S106" s="315"/>
    </row>
    <row r="107" spans="1:19" s="317" customFormat="1">
      <c r="A107" s="309" t="str">
        <f>HYPERLINK("http://www.wantgoo.com/stock/chart.aspx?stockno=5603","5603")</f>
        <v>5603</v>
      </c>
      <c r="B107" s="310"/>
      <c r="C107" s="311">
        <f>VLOOKUP(5603,季財報!A:H,3)</f>
        <v>0</v>
      </c>
      <c r="D107" s="311">
        <f>VLOOKUP(5603,季財報!A:H,4)</f>
        <v>1</v>
      </c>
      <c r="E107" s="311">
        <f>VLOOKUP(5603,季財報!A:H,5)</f>
        <v>0</v>
      </c>
      <c r="F107" s="311">
        <f>VLOOKUP(5603,季財報!A:H,6)</f>
        <v>1</v>
      </c>
      <c r="G107" s="311">
        <f>VLOOKUP(5603,季財報!A:H,7)</f>
        <v>0</v>
      </c>
      <c r="H107" s="312"/>
      <c r="I107" s="312"/>
      <c r="J107" s="312"/>
      <c r="K107" s="312"/>
      <c r="L107" s="312"/>
      <c r="M107" s="313"/>
      <c r="N107" s="312">
        <f t="shared" si="1"/>
        <v>2</v>
      </c>
      <c r="O107" s="314"/>
      <c r="P107" s="314"/>
      <c r="Q107" s="314"/>
      <c r="R107" s="314"/>
      <c r="S107" s="315"/>
    </row>
    <row r="108" spans="1:19" s="317" customFormat="1">
      <c r="A108" s="309" t="str">
        <f>HYPERLINK("http://www.wantgoo.com/stock/chart.aspx?stockno=3034","3034")</f>
        <v>3034</v>
      </c>
      <c r="B108" s="310"/>
      <c r="C108" s="311">
        <f>VLOOKUP(3034,季財報!A:H,3)</f>
        <v>0</v>
      </c>
      <c r="D108" s="311">
        <f>VLOOKUP(3034,季財報!A:H,4)</f>
        <v>1</v>
      </c>
      <c r="E108" s="311">
        <f>VLOOKUP(3034,季財報!A:H,5)</f>
        <v>1</v>
      </c>
      <c r="F108" s="311">
        <f>VLOOKUP(3034,季財報!A:H,6)</f>
        <v>1</v>
      </c>
      <c r="G108" s="311">
        <f>VLOOKUP(3034,季財報!A:H,7)</f>
        <v>0</v>
      </c>
      <c r="H108" s="312"/>
      <c r="I108" s="312"/>
      <c r="J108" s="312"/>
      <c r="K108" s="312"/>
      <c r="L108" s="312"/>
      <c r="M108" s="313"/>
      <c r="N108" s="312">
        <f t="shared" si="1"/>
        <v>3</v>
      </c>
      <c r="O108" s="314"/>
      <c r="P108" s="314"/>
      <c r="Q108" s="314"/>
      <c r="R108" s="314"/>
      <c r="S108" s="315"/>
    </row>
    <row r="109" spans="1:19" s="317" customFormat="1">
      <c r="A109" s="309" t="str">
        <f>HYPERLINK("http://www.wantgoo.com/stock/chart.aspx?stockno=1215","1215")</f>
        <v>1215</v>
      </c>
      <c r="B109" s="310"/>
      <c r="C109" s="311">
        <f>VLOOKUP(1215,季財報!A:H,3)</f>
        <v>0</v>
      </c>
      <c r="D109" s="311">
        <f>VLOOKUP(1215,季財報!A:H,4)</f>
        <v>1</v>
      </c>
      <c r="E109" s="311">
        <f>VLOOKUP(1215,季財報!A:H,5)</f>
        <v>1</v>
      </c>
      <c r="F109" s="311">
        <f>VLOOKUP(1215,季財報!A:H,6)</f>
        <v>1</v>
      </c>
      <c r="G109" s="311">
        <f>VLOOKUP(1215,季財報!A:H,7)</f>
        <v>0</v>
      </c>
      <c r="H109" s="312"/>
      <c r="I109" s="312"/>
      <c r="J109" s="312"/>
      <c r="K109" s="312"/>
      <c r="L109" s="312"/>
      <c r="M109" s="313"/>
      <c r="N109" s="312">
        <f t="shared" si="1"/>
        <v>3</v>
      </c>
      <c r="O109" s="314"/>
      <c r="P109" s="314"/>
      <c r="Q109" s="314"/>
      <c r="R109" s="314"/>
      <c r="S109" s="315"/>
    </row>
    <row r="110" spans="1:19" s="317" customFormat="1">
      <c r="A110" s="309" t="str">
        <f>HYPERLINK("http://www.wantgoo.com/stock/chart.aspx?stockno=4513","4513")</f>
        <v>4513</v>
      </c>
      <c r="B110" s="310"/>
      <c r="C110" s="311">
        <f>VLOOKUP(4513,季財報!A:H,3)</f>
        <v>1</v>
      </c>
      <c r="D110" s="311">
        <f>VLOOKUP(4513,季財報!A:H,4)</f>
        <v>1</v>
      </c>
      <c r="E110" s="311">
        <f>VLOOKUP(4513,季財報!A:H,5)</f>
        <v>0</v>
      </c>
      <c r="F110" s="311">
        <f>VLOOKUP(4513,季財報!A:H,6)</f>
        <v>1</v>
      </c>
      <c r="G110" s="311">
        <f>VLOOKUP(4513,季財報!A:H,7)</f>
        <v>0</v>
      </c>
      <c r="H110" s="312"/>
      <c r="I110" s="312"/>
      <c r="J110" s="312"/>
      <c r="K110" s="312"/>
      <c r="L110" s="312"/>
      <c r="M110" s="313"/>
      <c r="N110" s="312">
        <f t="shared" si="1"/>
        <v>3</v>
      </c>
      <c r="O110" s="314"/>
      <c r="P110" s="314"/>
      <c r="Q110" s="314"/>
      <c r="R110" s="314"/>
      <c r="S110" s="315"/>
    </row>
    <row r="111" spans="1:19" s="317" customFormat="1">
      <c r="A111" s="309" t="str">
        <f>HYPERLINK("http://www.wantgoo.com/stock/chart.aspx?stockno=1580","1580")</f>
        <v>1580</v>
      </c>
      <c r="B111" s="310"/>
      <c r="C111" s="311">
        <f>VLOOKUP(1580,季財報!A:H,3)</f>
        <v>0</v>
      </c>
      <c r="D111" s="311">
        <f>VLOOKUP(1580,季財報!A:H,4)</f>
        <v>1</v>
      </c>
      <c r="E111" s="311">
        <f>VLOOKUP(1580,季財報!A:H,5)</f>
        <v>0</v>
      </c>
      <c r="F111" s="311">
        <f>VLOOKUP(1580,季財報!A:H,6)</f>
        <v>0</v>
      </c>
      <c r="G111" s="311">
        <f>VLOOKUP(1580,季財報!A:H,7)</f>
        <v>0</v>
      </c>
      <c r="H111" s="312"/>
      <c r="I111" s="312"/>
      <c r="J111" s="312"/>
      <c r="K111" s="312"/>
      <c r="L111" s="312"/>
      <c r="M111" s="313"/>
      <c r="N111" s="312">
        <f t="shared" si="1"/>
        <v>1</v>
      </c>
      <c r="O111" s="314"/>
      <c r="P111" s="314"/>
      <c r="Q111" s="314"/>
      <c r="R111" s="314"/>
      <c r="S111" s="315"/>
    </row>
    <row r="112" spans="1:19" s="317" customFormat="1">
      <c r="A112" s="309" t="str">
        <f>HYPERLINK("http://www.wantgoo.com/stock/chart.aspx?stockno=8086","8086")</f>
        <v>8086</v>
      </c>
      <c r="B112" s="310"/>
      <c r="C112" s="311">
        <f>VLOOKUP(8086,季財報!A:H,3)</f>
        <v>1</v>
      </c>
      <c r="D112" s="311">
        <f>VLOOKUP(8086,季財報!A:H,4)</f>
        <v>1</v>
      </c>
      <c r="E112" s="311">
        <f>VLOOKUP(8086,季財報!A:H,5)</f>
        <v>2</v>
      </c>
      <c r="F112" s="311">
        <f>VLOOKUP(8086,季財報!A:H,6)</f>
        <v>1</v>
      </c>
      <c r="G112" s="311">
        <f>VLOOKUP(8086,季財報!A:H,7)</f>
        <v>0</v>
      </c>
      <c r="H112" s="312"/>
      <c r="I112" s="312"/>
      <c r="J112" s="312"/>
      <c r="K112" s="312"/>
      <c r="L112" s="312"/>
      <c r="M112" s="313"/>
      <c r="N112" s="312">
        <f t="shared" si="1"/>
        <v>5</v>
      </c>
      <c r="O112" s="314"/>
      <c r="P112" s="314"/>
      <c r="Q112" s="314"/>
      <c r="R112" s="314"/>
      <c r="S112" s="315"/>
    </row>
    <row r="113" spans="1:19" s="317" customFormat="1">
      <c r="A113" s="309" t="str">
        <f>HYPERLINK("http://www.wantgoo.com/stock/chart.aspx?stockno=3051","3051")</f>
        <v>3051</v>
      </c>
      <c r="B113" s="310"/>
      <c r="C113" s="311">
        <f>VLOOKUP(3051,季財報!A:H,3)</f>
        <v>0</v>
      </c>
      <c r="D113" s="311">
        <f>VLOOKUP(3051,季財報!A:H,4)</f>
        <v>1</v>
      </c>
      <c r="E113" s="311">
        <f>VLOOKUP(3051,季財報!A:H,5)</f>
        <v>0</v>
      </c>
      <c r="F113" s="311">
        <f>VLOOKUP(3051,季財報!A:H,6)</f>
        <v>1</v>
      </c>
      <c r="G113" s="311">
        <f>VLOOKUP(3051,季財報!A:H,7)</f>
        <v>0</v>
      </c>
      <c r="H113" s="312"/>
      <c r="I113" s="312"/>
      <c r="J113" s="312"/>
      <c r="K113" s="312"/>
      <c r="L113" s="312"/>
      <c r="M113" s="313"/>
      <c r="N113" s="312">
        <f t="shared" si="1"/>
        <v>2</v>
      </c>
      <c r="O113" s="314"/>
      <c r="P113" s="314"/>
      <c r="Q113" s="314"/>
      <c r="R113" s="314"/>
      <c r="S113" s="315"/>
    </row>
    <row r="114" spans="1:19" s="317" customFormat="1">
      <c r="A114" s="309" t="str">
        <f>HYPERLINK("http://www.wantgoo.com/stock/chart.aspx?stockno=8088","8088")</f>
        <v>8088</v>
      </c>
      <c r="B114" s="310"/>
      <c r="C114" s="311">
        <f>VLOOKUP(8088,季財報!A:H,3)</f>
        <v>0</v>
      </c>
      <c r="D114" s="311">
        <f>VLOOKUP(8088,季財報!A:H,4)</f>
        <v>1</v>
      </c>
      <c r="E114" s="311">
        <f>VLOOKUP(8088,季財報!A:H,5)</f>
        <v>1</v>
      </c>
      <c r="F114" s="311">
        <f>VLOOKUP(8088,季財報!A:H,6)</f>
        <v>0</v>
      </c>
      <c r="G114" s="311">
        <f>VLOOKUP(8088,季財報!A:H,7)</f>
        <v>0</v>
      </c>
      <c r="H114" s="312"/>
      <c r="I114" s="312"/>
      <c r="J114" s="312"/>
      <c r="K114" s="312"/>
      <c r="L114" s="312"/>
      <c r="M114" s="313"/>
      <c r="N114" s="312">
        <f t="shared" si="1"/>
        <v>2</v>
      </c>
      <c r="O114" s="314"/>
      <c r="P114" s="314"/>
      <c r="Q114" s="314"/>
      <c r="R114" s="314"/>
      <c r="S114" s="315"/>
    </row>
    <row r="115" spans="1:19" s="317" customFormat="1">
      <c r="A115" s="309" t="str">
        <f>HYPERLINK("http://www.wantgoo.com/stock/chart.aspx?stockno=2420","2420")</f>
        <v>2420</v>
      </c>
      <c r="B115" s="310"/>
      <c r="C115" s="311">
        <f>VLOOKUP(2420,季財報!A:H,3)</f>
        <v>1</v>
      </c>
      <c r="D115" s="311">
        <f>VLOOKUP(2420,季財報!A:H,4)</f>
        <v>1</v>
      </c>
      <c r="E115" s="311">
        <f>VLOOKUP(2420,季財報!A:H,5)</f>
        <v>0</v>
      </c>
      <c r="F115" s="311">
        <f>VLOOKUP(2420,季財報!A:H,6)</f>
        <v>1</v>
      </c>
      <c r="G115" s="311">
        <f>VLOOKUP(2420,季財報!A:H,7)</f>
        <v>0</v>
      </c>
      <c r="H115" s="312"/>
      <c r="I115" s="312"/>
      <c r="J115" s="312"/>
      <c r="K115" s="312"/>
      <c r="L115" s="312"/>
      <c r="M115" s="313"/>
      <c r="N115" s="312">
        <f t="shared" si="1"/>
        <v>3</v>
      </c>
      <c r="O115" s="314"/>
      <c r="P115" s="314"/>
      <c r="Q115" s="314"/>
      <c r="R115" s="314"/>
      <c r="S115" s="315"/>
    </row>
    <row r="116" spans="1:19" s="317" customFormat="1">
      <c r="A116" s="309" t="str">
        <f>HYPERLINK("http://www.wantgoo.com/stock/chart.aspx?stockno=3481","3481")</f>
        <v>3481</v>
      </c>
      <c r="B116" s="310"/>
      <c r="C116" s="311">
        <f>VLOOKUP(3481,季財報!A:H,3)</f>
        <v>0</v>
      </c>
      <c r="D116" s="311">
        <f>VLOOKUP(3481,季財報!A:H,4)</f>
        <v>0</v>
      </c>
      <c r="E116" s="311">
        <f>VLOOKUP(3481,季財報!A:H,5)</f>
        <v>0</v>
      </c>
      <c r="F116" s="311">
        <f>VLOOKUP(3481,季財報!A:H,6)</f>
        <v>1</v>
      </c>
      <c r="G116" s="311">
        <f>VLOOKUP(3481,季財報!A:H,7)</f>
        <v>0</v>
      </c>
      <c r="H116" s="312"/>
      <c r="I116" s="312"/>
      <c r="J116" s="312"/>
      <c r="K116" s="312"/>
      <c r="L116" s="312"/>
      <c r="M116" s="313"/>
      <c r="N116" s="312">
        <f t="shared" si="1"/>
        <v>1</v>
      </c>
      <c r="O116" s="314"/>
      <c r="P116" s="314"/>
      <c r="Q116" s="314"/>
      <c r="R116" s="314"/>
      <c r="S116" s="315"/>
    </row>
    <row r="117" spans="1:19" s="317" customFormat="1">
      <c r="A117" s="309" t="str">
        <f>HYPERLINK("http://www.wantgoo.com/stock/chart.aspx?stockno=4977","4977")</f>
        <v>4977</v>
      </c>
      <c r="B117" s="310"/>
      <c r="C117" s="311">
        <f>VLOOKUP(4977,季財報!A:H,3)</f>
        <v>0</v>
      </c>
      <c r="D117" s="311">
        <f>VLOOKUP(4977,季財報!A:H,4)</f>
        <v>1</v>
      </c>
      <c r="E117" s="311">
        <f>VLOOKUP(4977,季財報!A:H,5)</f>
        <v>2</v>
      </c>
      <c r="F117" s="311">
        <f>VLOOKUP(4977,季財報!A:H,6)</f>
        <v>1</v>
      </c>
      <c r="G117" s="311">
        <f>VLOOKUP(4977,季財報!A:H,7)</f>
        <v>0</v>
      </c>
      <c r="H117" s="312"/>
      <c r="I117" s="312"/>
      <c r="J117" s="312"/>
      <c r="K117" s="312"/>
      <c r="L117" s="312"/>
      <c r="M117" s="313"/>
      <c r="N117" s="312">
        <f t="shared" si="1"/>
        <v>4</v>
      </c>
      <c r="O117" s="314"/>
      <c r="P117" s="314"/>
      <c r="Q117" s="314"/>
      <c r="R117" s="314"/>
      <c r="S117" s="315"/>
    </row>
    <row r="118" spans="1:19" s="317" customFormat="1">
      <c r="A118" s="309" t="str">
        <f>HYPERLINK("http://www.wantgoo.com/stock/chart.aspx?stockno=5511","5511")</f>
        <v>5511</v>
      </c>
      <c r="B118" s="310"/>
      <c r="C118" s="311">
        <f>VLOOKUP(5511,季財報!A:H,3)</f>
        <v>0</v>
      </c>
      <c r="D118" s="311">
        <f>VLOOKUP(5511,季財報!A:H,4)</f>
        <v>0</v>
      </c>
      <c r="E118" s="311">
        <f>VLOOKUP(5511,季財報!A:H,5)</f>
        <v>0</v>
      </c>
      <c r="F118" s="311">
        <f>VLOOKUP(5511,季財報!A:H,6)</f>
        <v>0</v>
      </c>
      <c r="G118" s="311">
        <f>VLOOKUP(5511,季財報!A:H,7)</f>
        <v>0</v>
      </c>
      <c r="H118" s="312"/>
      <c r="I118" s="312"/>
      <c r="J118" s="312"/>
      <c r="K118" s="312"/>
      <c r="L118" s="312"/>
      <c r="M118" s="313"/>
      <c r="N118" s="312">
        <f t="shared" si="1"/>
        <v>0</v>
      </c>
      <c r="O118" s="314"/>
      <c r="P118" s="314"/>
      <c r="Q118" s="314"/>
      <c r="R118" s="314"/>
      <c r="S118" s="315"/>
    </row>
    <row r="119" spans="1:19" s="317" customFormat="1">
      <c r="A119" s="309" t="str">
        <f>HYPERLINK("http://www.wantgoo.com/stock/chart.aspx?stockno=6224","6224")</f>
        <v>6224</v>
      </c>
      <c r="B119" s="310"/>
      <c r="C119" s="311">
        <f>VLOOKUP(6224,季財報!A:H,3)</f>
        <v>0</v>
      </c>
      <c r="D119" s="311">
        <f>VLOOKUP(6224,季財報!A:H,4)</f>
        <v>1</v>
      </c>
      <c r="E119" s="311">
        <f>VLOOKUP(6224,季財報!A:H,5)</f>
        <v>0</v>
      </c>
      <c r="F119" s="311">
        <f>VLOOKUP(6224,季財報!A:H,6)</f>
        <v>1</v>
      </c>
      <c r="G119" s="311">
        <f>VLOOKUP(6224,季財報!A:H,7)</f>
        <v>0</v>
      </c>
      <c r="H119" s="312"/>
      <c r="I119" s="312"/>
      <c r="J119" s="312"/>
      <c r="K119" s="312"/>
      <c r="L119" s="312"/>
      <c r="M119" s="313"/>
      <c r="N119" s="312">
        <f t="shared" si="1"/>
        <v>2</v>
      </c>
      <c r="O119" s="314"/>
      <c r="P119" s="314"/>
      <c r="Q119" s="314"/>
      <c r="R119" s="314"/>
      <c r="S119" s="315"/>
    </row>
    <row r="120" spans="1:19" s="317" customFormat="1">
      <c r="A120" s="309" t="str">
        <f>HYPERLINK("http://www.wantgoo.com/stock/chart.aspx?stockno=5276","5276")</f>
        <v>5276</v>
      </c>
      <c r="B120" s="310"/>
      <c r="C120" s="311">
        <f>VLOOKUP(5276,季財報!A:H,3)</f>
        <v>0</v>
      </c>
      <c r="D120" s="311">
        <f>VLOOKUP(5276,季財報!A:H,4)</f>
        <v>1</v>
      </c>
      <c r="E120" s="311">
        <f>VLOOKUP(5276,季財報!A:H,5)</f>
        <v>0</v>
      </c>
      <c r="F120" s="311">
        <f>VLOOKUP(5276,季財報!A:H,6)</f>
        <v>1</v>
      </c>
      <c r="G120" s="311">
        <f>VLOOKUP(5276,季財報!A:H,7)</f>
        <v>0</v>
      </c>
      <c r="H120" s="312"/>
      <c r="I120" s="312"/>
      <c r="J120" s="312"/>
      <c r="K120" s="312"/>
      <c r="L120" s="312"/>
      <c r="M120" s="313"/>
      <c r="N120" s="312">
        <f t="shared" si="1"/>
        <v>2</v>
      </c>
      <c r="O120" s="314"/>
      <c r="P120" s="314"/>
      <c r="Q120" s="314"/>
      <c r="R120" s="314"/>
      <c r="S120" s="315"/>
    </row>
    <row r="121" spans="1:19" s="317" customFormat="1">
      <c r="A121" s="309" t="str">
        <f>HYPERLINK("http://www.wantgoo.com/stock/chart.aspx?stockno=1526","1526")</f>
        <v>1526</v>
      </c>
      <c r="B121" s="310"/>
      <c r="C121" s="311">
        <f>VLOOKUP(1526,季財報!A:H,3)</f>
        <v>1</v>
      </c>
      <c r="D121" s="311">
        <f>VLOOKUP(1526,季財報!A:H,4)</f>
        <v>1</v>
      </c>
      <c r="E121" s="311">
        <f>VLOOKUP(1526,季財報!A:H,5)</f>
        <v>0</v>
      </c>
      <c r="F121" s="311">
        <f>VLOOKUP(1526,季財報!A:H,6)</f>
        <v>0</v>
      </c>
      <c r="G121" s="311">
        <f>VLOOKUP(1526,季財報!A:H,7)</f>
        <v>1</v>
      </c>
      <c r="H121" s="312"/>
      <c r="I121" s="312"/>
      <c r="J121" s="312"/>
      <c r="K121" s="312"/>
      <c r="L121" s="312"/>
      <c r="M121" s="313"/>
      <c r="N121" s="312">
        <f t="shared" si="1"/>
        <v>3</v>
      </c>
      <c r="O121" s="314"/>
      <c r="P121" s="314"/>
      <c r="Q121" s="314"/>
      <c r="R121" s="314"/>
      <c r="S121" s="315"/>
    </row>
    <row r="122" spans="1:19" s="317" customFormat="1">
      <c r="A122" s="309" t="str">
        <f>HYPERLINK("http://www.wantgoo.com/stock/chart.aspx?stockno=1541","1541")</f>
        <v>1541</v>
      </c>
      <c r="B122" s="310"/>
      <c r="C122" s="311">
        <f>VLOOKUP(1541,季財報!A:H,3)</f>
        <v>1</v>
      </c>
      <c r="D122" s="311">
        <f>VLOOKUP(1541,季財報!A:H,4)</f>
        <v>1</v>
      </c>
      <c r="E122" s="311">
        <f>VLOOKUP(1541,季財報!A:H,5)</f>
        <v>2</v>
      </c>
      <c r="F122" s="311">
        <f>VLOOKUP(1541,季財報!A:H,6)</f>
        <v>0</v>
      </c>
      <c r="G122" s="311">
        <f>VLOOKUP(1541,季財報!A:H,7)</f>
        <v>0</v>
      </c>
      <c r="H122" s="312"/>
      <c r="I122" s="312"/>
      <c r="J122" s="312"/>
      <c r="K122" s="312"/>
      <c r="L122" s="312"/>
      <c r="M122" s="313"/>
      <c r="N122" s="312">
        <f t="shared" si="1"/>
        <v>4</v>
      </c>
      <c r="O122" s="314"/>
      <c r="P122" s="314"/>
      <c r="Q122" s="314"/>
      <c r="R122" s="314"/>
      <c r="S122" s="315"/>
    </row>
    <row r="123" spans="1:19" s="317" customFormat="1">
      <c r="A123" s="309" t="str">
        <f>HYPERLINK("http://www.wantgoo.com/stock/chart.aspx?stockno=2351","2351")</f>
        <v>2351</v>
      </c>
      <c r="B123" s="310"/>
      <c r="C123" s="311">
        <f>VLOOKUP(2351,季財報!A:H,3)</f>
        <v>0</v>
      </c>
      <c r="D123" s="311">
        <f>VLOOKUP(2351,季財報!A:H,4)</f>
        <v>1</v>
      </c>
      <c r="E123" s="311">
        <f>VLOOKUP(2351,季財報!A:H,5)</f>
        <v>0</v>
      </c>
      <c r="F123" s="311">
        <f>VLOOKUP(2351,季財報!A:H,6)</f>
        <v>1</v>
      </c>
      <c r="G123" s="311">
        <f>VLOOKUP(2351,季財報!A:H,7)</f>
        <v>0</v>
      </c>
      <c r="H123" s="312"/>
      <c r="I123" s="312"/>
      <c r="J123" s="312"/>
      <c r="K123" s="312"/>
      <c r="L123" s="312"/>
      <c r="M123" s="313"/>
      <c r="N123" s="312">
        <f t="shared" si="1"/>
        <v>2</v>
      </c>
      <c r="O123" s="314"/>
      <c r="P123" s="314"/>
      <c r="Q123" s="314"/>
      <c r="R123" s="314"/>
      <c r="S123" s="315"/>
    </row>
    <row r="124" spans="1:19" s="317" customFormat="1">
      <c r="A124" s="309" t="str">
        <f>HYPERLINK("http://www.wantgoo.com/stock/chart.aspx?stockno=4952","4952")</f>
        <v>4952</v>
      </c>
      <c r="B124" s="310"/>
      <c r="C124" s="311">
        <f>VLOOKUP(4952,季財報!A:H,3)</f>
        <v>1</v>
      </c>
      <c r="D124" s="311">
        <f>VLOOKUP(4952,季財報!A:H,4)</f>
        <v>1</v>
      </c>
      <c r="E124" s="311">
        <f>VLOOKUP(4952,季財報!A:H,5)</f>
        <v>0</v>
      </c>
      <c r="F124" s="311">
        <f>VLOOKUP(4952,季財報!A:H,6)</f>
        <v>1</v>
      </c>
      <c r="G124" s="311">
        <f>VLOOKUP(4952,季財報!A:H,7)</f>
        <v>0</v>
      </c>
      <c r="H124" s="312"/>
      <c r="I124" s="312"/>
      <c r="J124" s="312"/>
      <c r="K124" s="312"/>
      <c r="L124" s="312"/>
      <c r="M124" s="313"/>
      <c r="N124" s="312">
        <f t="shared" si="1"/>
        <v>3</v>
      </c>
      <c r="O124" s="314"/>
      <c r="P124" s="314"/>
      <c r="Q124" s="314"/>
      <c r="R124" s="314"/>
      <c r="S124" s="315"/>
    </row>
    <row r="125" spans="1:19" s="317" customFormat="1">
      <c r="A125" s="309" t="str">
        <f>HYPERLINK("http://www.wantgoo.com/stock/chart.aspx?stockno=3290","3290")</f>
        <v>3290</v>
      </c>
      <c r="B125" s="310"/>
      <c r="C125" s="311">
        <f>VLOOKUP(3290,季財報!A:H,3)</f>
        <v>0</v>
      </c>
      <c r="D125" s="311">
        <f>VLOOKUP(3290,季財報!A:H,4)</f>
        <v>0</v>
      </c>
      <c r="E125" s="311">
        <f>VLOOKUP(3290,季財報!A:H,5)</f>
        <v>1</v>
      </c>
      <c r="F125" s="311">
        <f>VLOOKUP(3290,季財報!A:H,6)</f>
        <v>0</v>
      </c>
      <c r="G125" s="311">
        <f>VLOOKUP(3290,季財報!A:H,7)</f>
        <v>0</v>
      </c>
      <c r="H125" s="312"/>
      <c r="I125" s="312"/>
      <c r="J125" s="312"/>
      <c r="K125" s="312"/>
      <c r="L125" s="312"/>
      <c r="M125" s="313"/>
      <c r="N125" s="312">
        <f t="shared" si="1"/>
        <v>1</v>
      </c>
      <c r="O125" s="314"/>
      <c r="P125" s="314"/>
      <c r="Q125" s="314"/>
      <c r="R125" s="314"/>
      <c r="S125" s="315"/>
    </row>
    <row r="126" spans="1:19" s="317" customFormat="1">
      <c r="A126" s="309" t="str">
        <f>HYPERLINK("http://www.wantgoo.com/stock/chart.aspx?stockno=1599","1599")</f>
        <v>1599</v>
      </c>
      <c r="B126" s="310"/>
      <c r="C126" s="311">
        <f>VLOOKUP(1599,季財報!A:H,3)</f>
        <v>1</v>
      </c>
      <c r="D126" s="311">
        <f>VLOOKUP(1599,季財報!A:H,4)</f>
        <v>1</v>
      </c>
      <c r="E126" s="311">
        <f>VLOOKUP(1599,季財報!A:H,5)</f>
        <v>0</v>
      </c>
      <c r="F126" s="311">
        <f>VLOOKUP(1599,季財報!A:H,6)</f>
        <v>1</v>
      </c>
      <c r="G126" s="311">
        <f>VLOOKUP(1599,季財報!A:H,7)</f>
        <v>1</v>
      </c>
      <c r="H126" s="312"/>
      <c r="I126" s="312"/>
      <c r="J126" s="312"/>
      <c r="K126" s="312"/>
      <c r="L126" s="312"/>
      <c r="M126" s="313"/>
      <c r="N126" s="312">
        <f t="shared" si="1"/>
        <v>4</v>
      </c>
      <c r="O126" s="314"/>
      <c r="P126" s="314"/>
      <c r="Q126" s="314"/>
      <c r="R126" s="314"/>
      <c r="S126" s="315"/>
    </row>
    <row r="127" spans="1:19" s="317" customFormat="1">
      <c r="A127" s="309" t="str">
        <f>HYPERLINK("http://www.wantgoo.com/stock/chart.aspx?stockno=5434","5434")</f>
        <v>5434</v>
      </c>
      <c r="B127" s="310"/>
      <c r="C127" s="311">
        <f>VLOOKUP(5434,季財報!A:H,3)</f>
        <v>1</v>
      </c>
      <c r="D127" s="311">
        <f>VLOOKUP(5434,季財報!A:H,4)</f>
        <v>1</v>
      </c>
      <c r="E127" s="311">
        <f>VLOOKUP(5434,季財報!A:H,5)</f>
        <v>0</v>
      </c>
      <c r="F127" s="311">
        <f>VLOOKUP(5434,季財報!A:H,6)</f>
        <v>1</v>
      </c>
      <c r="G127" s="311">
        <f>VLOOKUP(5434,季財報!A:H,7)</f>
        <v>0</v>
      </c>
      <c r="H127" s="312"/>
      <c r="I127" s="312"/>
      <c r="J127" s="312"/>
      <c r="K127" s="312"/>
      <c r="L127" s="312"/>
      <c r="M127" s="313"/>
      <c r="N127" s="312">
        <f t="shared" si="1"/>
        <v>3</v>
      </c>
      <c r="O127" s="314"/>
      <c r="P127" s="314"/>
      <c r="Q127" s="314"/>
      <c r="R127" s="314"/>
      <c r="S127" s="315"/>
    </row>
    <row r="128" spans="1:19" s="317" customFormat="1">
      <c r="A128" s="309" t="str">
        <f>HYPERLINK("http://www.wantgoo.com/stock/chart.aspx?stockno=8066","8066")</f>
        <v>8066</v>
      </c>
      <c r="B128" s="310"/>
      <c r="C128" s="311">
        <f>VLOOKUP(8066,季財報!A:H,3)</f>
        <v>1</v>
      </c>
      <c r="D128" s="311">
        <f>VLOOKUP(8066,季財報!A:H,4)</f>
        <v>1</v>
      </c>
      <c r="E128" s="311">
        <f>VLOOKUP(8066,季財報!A:H,5)</f>
        <v>1</v>
      </c>
      <c r="F128" s="311">
        <f>VLOOKUP(8066,季財報!A:H,6)</f>
        <v>1</v>
      </c>
      <c r="G128" s="311">
        <f>VLOOKUP(8066,季財報!A:H,7)</f>
        <v>0</v>
      </c>
      <c r="H128" s="312"/>
      <c r="I128" s="312"/>
      <c r="J128" s="312"/>
      <c r="K128" s="312"/>
      <c r="L128" s="312"/>
      <c r="M128" s="313"/>
      <c r="N128" s="312">
        <f t="shared" si="1"/>
        <v>4</v>
      </c>
      <c r="O128" s="314"/>
      <c r="P128" s="314"/>
      <c r="Q128" s="314"/>
      <c r="R128" s="314"/>
      <c r="S128" s="315"/>
    </row>
    <row r="129" spans="1:19" s="317" customFormat="1">
      <c r="A129" s="309" t="str">
        <f>HYPERLINK("http://www.wantgoo.com/stock/chart.aspx?stockno=1773","1773")</f>
        <v>1773</v>
      </c>
      <c r="B129" s="310"/>
      <c r="C129" s="311">
        <f>VLOOKUP(1773,季財報!A:H,3)</f>
        <v>1</v>
      </c>
      <c r="D129" s="311">
        <f>VLOOKUP(1773,季財報!A:H,4)</f>
        <v>1</v>
      </c>
      <c r="E129" s="311">
        <f>VLOOKUP(1773,季財報!A:H,5)</f>
        <v>2</v>
      </c>
      <c r="F129" s="311">
        <f>VLOOKUP(1773,季財報!A:H,6)</f>
        <v>1</v>
      </c>
      <c r="G129" s="311">
        <f>VLOOKUP(1773,季財報!A:H,7)</f>
        <v>0</v>
      </c>
      <c r="H129" s="312"/>
      <c r="I129" s="312"/>
      <c r="J129" s="312"/>
      <c r="K129" s="312"/>
      <c r="L129" s="312"/>
      <c r="M129" s="313"/>
      <c r="N129" s="312">
        <f t="shared" si="1"/>
        <v>5</v>
      </c>
      <c r="O129" s="314"/>
      <c r="P129" s="314"/>
      <c r="Q129" s="314"/>
      <c r="R129" s="314"/>
      <c r="S129" s="315"/>
    </row>
    <row r="130" spans="1:19" s="317" customFormat="1">
      <c r="A130" s="309" t="str">
        <f>HYPERLINK("http://www.wantgoo.com/stock/chart.aspx?stockno=3563","3563")</f>
        <v>3563</v>
      </c>
      <c r="B130" s="310"/>
      <c r="C130" s="311">
        <f>VLOOKUP(3563,季財報!A:H,3)</f>
        <v>1</v>
      </c>
      <c r="D130" s="311">
        <f>VLOOKUP(3563,季財報!A:H,4)</f>
        <v>1</v>
      </c>
      <c r="E130" s="311">
        <f>VLOOKUP(3563,季財報!A:H,5)</f>
        <v>0</v>
      </c>
      <c r="F130" s="311">
        <f>VLOOKUP(3563,季財報!A:H,6)</f>
        <v>0</v>
      </c>
      <c r="G130" s="311">
        <f>VLOOKUP(3563,季財報!A:H,7)</f>
        <v>0</v>
      </c>
      <c r="H130" s="312"/>
      <c r="I130" s="312"/>
      <c r="J130" s="312"/>
      <c r="K130" s="312"/>
      <c r="L130" s="312"/>
      <c r="M130" s="313"/>
      <c r="N130" s="312">
        <f t="shared" si="1"/>
        <v>2</v>
      </c>
      <c r="O130" s="314"/>
      <c r="P130" s="314"/>
      <c r="Q130" s="314"/>
      <c r="R130" s="314"/>
      <c r="S130" s="315"/>
    </row>
    <row r="131" spans="1:19" s="317" customFormat="1">
      <c r="A131" s="309" t="str">
        <f>HYPERLINK("http://www.wantgoo.com/stock/chart.aspx?stockno=6104","6104")</f>
        <v>6104</v>
      </c>
      <c r="B131" s="310"/>
      <c r="C131" s="311">
        <f>VLOOKUP(6104,季財報!A:H,3)</f>
        <v>0</v>
      </c>
      <c r="D131" s="311">
        <f>VLOOKUP(6104,季財報!A:H,4)</f>
        <v>1</v>
      </c>
      <c r="E131" s="311">
        <f>VLOOKUP(6104,季財報!A:H,5)</f>
        <v>0</v>
      </c>
      <c r="F131" s="311">
        <f>VLOOKUP(6104,季財報!A:H,6)</f>
        <v>1</v>
      </c>
      <c r="G131" s="311">
        <f>VLOOKUP(6104,季財報!A:H,7)</f>
        <v>0</v>
      </c>
      <c r="H131" s="312"/>
      <c r="I131" s="312"/>
      <c r="J131" s="312"/>
      <c r="K131" s="312"/>
      <c r="L131" s="312"/>
      <c r="M131" s="313"/>
      <c r="N131" s="312">
        <f t="shared" si="1"/>
        <v>2</v>
      </c>
      <c r="O131" s="314"/>
      <c r="P131" s="314"/>
      <c r="Q131" s="314"/>
      <c r="R131" s="314"/>
      <c r="S131" s="315"/>
    </row>
    <row r="132" spans="1:19" s="317" customFormat="1">
      <c r="A132" s="309" t="str">
        <f>HYPERLINK("http://www.wantgoo.com/stock/chart.aspx?stockno=3541","3541")</f>
        <v>3541</v>
      </c>
      <c r="B132" s="310"/>
      <c r="C132" s="311">
        <f>VLOOKUP(3541,季財報!A:H,3)</f>
        <v>0</v>
      </c>
      <c r="D132" s="311">
        <f>VLOOKUP(3541,季財報!A:H,4)</f>
        <v>1</v>
      </c>
      <c r="E132" s="311">
        <f>VLOOKUP(3541,季財報!A:H,5)</f>
        <v>1</v>
      </c>
      <c r="F132" s="311">
        <f>VLOOKUP(3541,季財報!A:H,6)</f>
        <v>1</v>
      </c>
      <c r="G132" s="311">
        <f>VLOOKUP(3541,季財報!A:H,7)</f>
        <v>0</v>
      </c>
      <c r="H132" s="312"/>
      <c r="I132" s="312"/>
      <c r="J132" s="312"/>
      <c r="K132" s="312"/>
      <c r="L132" s="312"/>
      <c r="M132" s="313"/>
      <c r="N132" s="312">
        <f t="shared" ref="N132:N195" si="2">SUM(C132:M132)</f>
        <v>3</v>
      </c>
      <c r="O132" s="314"/>
      <c r="P132" s="314"/>
      <c r="Q132" s="314"/>
      <c r="R132" s="314"/>
      <c r="S132" s="315"/>
    </row>
    <row r="133" spans="1:19" s="317" customFormat="1">
      <c r="A133" s="309" t="str">
        <f>HYPERLINK("http://www.wantgoo.com/stock/chart.aspx?stockno=5519","5519")</f>
        <v>5519</v>
      </c>
      <c r="B133" s="310"/>
      <c r="C133" s="311">
        <f>VLOOKUP(5519,季財報!A:H,3)</f>
        <v>0</v>
      </c>
      <c r="D133" s="311">
        <f>VLOOKUP(5519,季財報!A:H,4)</f>
        <v>1</v>
      </c>
      <c r="E133" s="311">
        <f>VLOOKUP(5519,季財報!A:H,5)</f>
        <v>0</v>
      </c>
      <c r="F133" s="311">
        <f>VLOOKUP(5519,季財報!A:H,6)</f>
        <v>1</v>
      </c>
      <c r="G133" s="311">
        <f>VLOOKUP(5519,季財報!A:H,7)</f>
        <v>0</v>
      </c>
      <c r="H133" s="312"/>
      <c r="I133" s="312"/>
      <c r="J133" s="312"/>
      <c r="K133" s="312"/>
      <c r="L133" s="312"/>
      <c r="M133" s="313"/>
      <c r="N133" s="312">
        <f t="shared" si="2"/>
        <v>2</v>
      </c>
      <c r="O133" s="314"/>
      <c r="P133" s="314"/>
      <c r="Q133" s="314"/>
      <c r="R133" s="314"/>
      <c r="S133" s="315"/>
    </row>
    <row r="134" spans="1:19" s="317" customFormat="1">
      <c r="A134" s="309" t="str">
        <f>HYPERLINK("http://www.wantgoo.com/stock/chart.aspx?stockno=3008","3008")</f>
        <v>3008</v>
      </c>
      <c r="B134" s="310"/>
      <c r="C134" s="311">
        <f>VLOOKUP(3008,季財報!A:H,3)</f>
        <v>1</v>
      </c>
      <c r="D134" s="311">
        <f>VLOOKUP(3008,季財報!A:H,4)</f>
        <v>1</v>
      </c>
      <c r="E134" s="311">
        <f>VLOOKUP(3008,季財報!A:H,5)</f>
        <v>0</v>
      </c>
      <c r="F134" s="311">
        <f>VLOOKUP(3008,季財報!A:H,6)</f>
        <v>1</v>
      </c>
      <c r="G134" s="311">
        <f>VLOOKUP(3008,季財報!A:H,7)</f>
        <v>0</v>
      </c>
      <c r="H134" s="312"/>
      <c r="I134" s="312"/>
      <c r="J134" s="312"/>
      <c r="K134" s="312"/>
      <c r="L134" s="312"/>
      <c r="M134" s="313"/>
      <c r="N134" s="312">
        <f t="shared" si="2"/>
        <v>3</v>
      </c>
      <c r="O134" s="314"/>
      <c r="P134" s="314"/>
      <c r="Q134" s="314"/>
      <c r="R134" s="314"/>
      <c r="S134" s="315"/>
    </row>
    <row r="135" spans="1:19" s="317" customFormat="1">
      <c r="A135" s="309" t="str">
        <f>HYPERLINK("http://www.wantgoo.com/stock/chart.aspx?stockno=5215","5215")</f>
        <v>5215</v>
      </c>
      <c r="B135" s="310"/>
      <c r="C135" s="311">
        <f>VLOOKUP(5215,季財報!A:H,3)</f>
        <v>0</v>
      </c>
      <c r="D135" s="311">
        <f>VLOOKUP(5215,季財報!A:H,4)</f>
        <v>1</v>
      </c>
      <c r="E135" s="311">
        <f>VLOOKUP(5215,季財報!A:H,5)</f>
        <v>2</v>
      </c>
      <c r="F135" s="311">
        <f>VLOOKUP(5215,季財報!A:H,6)</f>
        <v>1</v>
      </c>
      <c r="G135" s="311">
        <f>VLOOKUP(5215,季財報!A:H,7)</f>
        <v>0</v>
      </c>
      <c r="H135" s="312"/>
      <c r="I135" s="312"/>
      <c r="J135" s="312"/>
      <c r="K135" s="312"/>
      <c r="L135" s="312"/>
      <c r="M135" s="313"/>
      <c r="N135" s="312">
        <f t="shared" si="2"/>
        <v>4</v>
      </c>
      <c r="O135" s="314"/>
      <c r="P135" s="314"/>
      <c r="Q135" s="314"/>
      <c r="R135" s="314"/>
      <c r="S135" s="315"/>
    </row>
    <row r="136" spans="1:19" s="317" customFormat="1">
      <c r="A136" s="309" t="str">
        <f>HYPERLINK("http://www.wantgoo.com/stock/chart.aspx?stockno=6143","6143")</f>
        <v>6143</v>
      </c>
      <c r="B136" s="310"/>
      <c r="C136" s="311">
        <f>VLOOKUP(6143,季財報!A:H,3)</f>
        <v>1</v>
      </c>
      <c r="D136" s="311">
        <f>VLOOKUP(6143,季財報!A:H,4)</f>
        <v>1</v>
      </c>
      <c r="E136" s="311">
        <f>VLOOKUP(6143,季財報!A:H,5)</f>
        <v>2</v>
      </c>
      <c r="F136" s="311">
        <f>VLOOKUP(6143,季財報!A:H,6)</f>
        <v>1</v>
      </c>
      <c r="G136" s="311">
        <f>VLOOKUP(6143,季財報!A:H,7)</f>
        <v>0</v>
      </c>
      <c r="H136" s="312"/>
      <c r="I136" s="312"/>
      <c r="J136" s="312"/>
      <c r="K136" s="312"/>
      <c r="L136" s="312"/>
      <c r="M136" s="313"/>
      <c r="N136" s="312">
        <f t="shared" si="2"/>
        <v>5</v>
      </c>
      <c r="O136" s="314"/>
      <c r="P136" s="314"/>
      <c r="Q136" s="314"/>
      <c r="R136" s="314"/>
      <c r="S136" s="315"/>
    </row>
    <row r="137" spans="1:19" s="317" customFormat="1">
      <c r="A137" s="309" t="str">
        <f>HYPERLINK("http://www.wantgoo.com/stock/chart.aspx?stockno=2904","2904")</f>
        <v>2904</v>
      </c>
      <c r="B137" s="310"/>
      <c r="C137" s="311">
        <f>VLOOKUP(2904,季財報!A:H,3)</f>
        <v>0</v>
      </c>
      <c r="D137" s="311">
        <f>VLOOKUP(2904,季財報!A:H,4)</f>
        <v>1</v>
      </c>
      <c r="E137" s="311">
        <f>VLOOKUP(2904,季財報!A:H,5)</f>
        <v>1</v>
      </c>
      <c r="F137" s="311">
        <f>VLOOKUP(2904,季財報!A:H,6)</f>
        <v>1</v>
      </c>
      <c r="G137" s="311">
        <f>VLOOKUP(2904,季財報!A:H,7)</f>
        <v>0</v>
      </c>
      <c r="H137" s="312"/>
      <c r="I137" s="312"/>
      <c r="J137" s="312"/>
      <c r="K137" s="312"/>
      <c r="L137" s="312"/>
      <c r="M137" s="313"/>
      <c r="N137" s="312">
        <f t="shared" si="2"/>
        <v>3</v>
      </c>
      <c r="O137" s="314"/>
      <c r="P137" s="314"/>
      <c r="Q137" s="314"/>
      <c r="R137" s="314"/>
      <c r="S137" s="315"/>
    </row>
    <row r="138" spans="1:19" s="317" customFormat="1">
      <c r="A138" s="309" t="str">
        <f>HYPERLINK("http://www.wantgoo.com/stock/chart.aspx?stockno=1708","1708")</f>
        <v>1708</v>
      </c>
      <c r="B138" s="310"/>
      <c r="C138" s="311">
        <f>VLOOKUP(1708,季財報!A:H,3)</f>
        <v>1</v>
      </c>
      <c r="D138" s="311">
        <f>VLOOKUP(1708,季財報!A:H,4)</f>
        <v>1</v>
      </c>
      <c r="E138" s="311">
        <f>VLOOKUP(1708,季財報!A:H,5)</f>
        <v>1</v>
      </c>
      <c r="F138" s="311">
        <f>VLOOKUP(1708,季財報!A:H,6)</f>
        <v>1</v>
      </c>
      <c r="G138" s="311">
        <f>VLOOKUP(1708,季財報!A:H,7)</f>
        <v>0</v>
      </c>
      <c r="H138" s="312"/>
      <c r="I138" s="312"/>
      <c r="J138" s="312"/>
      <c r="K138" s="312"/>
      <c r="L138" s="312"/>
      <c r="M138" s="313"/>
      <c r="N138" s="312">
        <f t="shared" si="2"/>
        <v>4</v>
      </c>
      <c r="O138" s="314"/>
      <c r="P138" s="314"/>
      <c r="Q138" s="314"/>
      <c r="R138" s="314"/>
      <c r="S138" s="315"/>
    </row>
    <row r="139" spans="1:19" s="317" customFormat="1">
      <c r="A139" s="309" t="str">
        <f>HYPERLINK("http://www.wantgoo.com/stock/chart.aspx?stockno=6451","6451")</f>
        <v>6451</v>
      </c>
      <c r="B139" s="310"/>
      <c r="C139" s="311">
        <f>VLOOKUP(6451,季財報!A:H,3)</f>
        <v>0</v>
      </c>
      <c r="D139" s="311">
        <f>VLOOKUP(6451,季財報!A:H,4)</f>
        <v>1</v>
      </c>
      <c r="E139" s="311">
        <f>VLOOKUP(6451,季財報!A:H,5)</f>
        <v>0</v>
      </c>
      <c r="F139" s="311">
        <f>VLOOKUP(6451,季財報!A:H,6)</f>
        <v>0</v>
      </c>
      <c r="G139" s="311">
        <f>VLOOKUP(6451,季財報!A:H,7)</f>
        <v>0</v>
      </c>
      <c r="H139" s="312"/>
      <c r="I139" s="312"/>
      <c r="J139" s="312"/>
      <c r="K139" s="312"/>
      <c r="L139" s="312"/>
      <c r="M139" s="313"/>
      <c r="N139" s="312">
        <f t="shared" si="2"/>
        <v>1</v>
      </c>
      <c r="O139" s="314"/>
      <c r="P139" s="314"/>
      <c r="Q139" s="314"/>
      <c r="R139" s="314"/>
      <c r="S139" s="315"/>
    </row>
    <row r="140" spans="1:19" s="317" customFormat="1">
      <c r="A140" s="309" t="str">
        <f>HYPERLINK("http://www.wantgoo.com/stock/chart.aspx?stockno=2497","2497")</f>
        <v>2497</v>
      </c>
      <c r="B140" s="310"/>
      <c r="C140" s="311">
        <f>VLOOKUP(2497,季財報!A:H,3)</f>
        <v>0</v>
      </c>
      <c r="D140" s="311">
        <f>VLOOKUP(2497,季財報!A:H,4)</f>
        <v>1</v>
      </c>
      <c r="E140" s="311">
        <f>VLOOKUP(2497,季財報!A:H,5)</f>
        <v>0</v>
      </c>
      <c r="F140" s="311">
        <f>VLOOKUP(2497,季財報!A:H,6)</f>
        <v>0</v>
      </c>
      <c r="G140" s="311">
        <f>VLOOKUP(2497,季財報!A:H,7)</f>
        <v>0</v>
      </c>
      <c r="H140" s="312"/>
      <c r="I140" s="312"/>
      <c r="J140" s="312"/>
      <c r="K140" s="312"/>
      <c r="L140" s="312"/>
      <c r="M140" s="313"/>
      <c r="N140" s="312">
        <f t="shared" si="2"/>
        <v>1</v>
      </c>
      <c r="O140" s="314"/>
      <c r="P140" s="314"/>
      <c r="Q140" s="314"/>
      <c r="R140" s="314"/>
      <c r="S140" s="315"/>
    </row>
    <row r="141" spans="1:19" s="317" customFormat="1">
      <c r="A141" s="309" t="str">
        <f>HYPERLINK("http://www.wantgoo.com/stock/chart.aspx?stockno=5264","5264")</f>
        <v>5264</v>
      </c>
      <c r="B141" s="310"/>
      <c r="C141" s="311">
        <f>VLOOKUP(5264,季財報!A:H,3)</f>
        <v>1</v>
      </c>
      <c r="D141" s="311">
        <f>VLOOKUP(5264,季財報!A:H,4)</f>
        <v>1</v>
      </c>
      <c r="E141" s="311">
        <f>VLOOKUP(5264,季財報!A:H,5)</f>
        <v>0</v>
      </c>
      <c r="F141" s="311">
        <f>VLOOKUP(5264,季財報!A:H,6)</f>
        <v>1</v>
      </c>
      <c r="G141" s="311">
        <f>VLOOKUP(5264,季財報!A:H,7)</f>
        <v>0</v>
      </c>
      <c r="H141" s="312"/>
      <c r="I141" s="312"/>
      <c r="J141" s="312"/>
      <c r="K141" s="312"/>
      <c r="L141" s="312"/>
      <c r="M141" s="313"/>
      <c r="N141" s="312">
        <f t="shared" si="2"/>
        <v>3</v>
      </c>
      <c r="O141" s="314"/>
      <c r="P141" s="314"/>
      <c r="Q141" s="314"/>
      <c r="R141" s="314"/>
      <c r="S141" s="315"/>
    </row>
    <row r="142" spans="1:19" s="317" customFormat="1">
      <c r="A142" s="309" t="str">
        <f>HYPERLINK("http://www.wantgoo.com/stock/chart.aspx?stockno=3528","3528")</f>
        <v>3528</v>
      </c>
      <c r="B142" s="310"/>
      <c r="C142" s="311">
        <f>VLOOKUP(3528,季財報!A:H,3)</f>
        <v>0</v>
      </c>
      <c r="D142" s="311">
        <f>VLOOKUP(3528,季財報!A:H,4)</f>
        <v>1</v>
      </c>
      <c r="E142" s="311">
        <f>VLOOKUP(3528,季財報!A:H,5)</f>
        <v>0</v>
      </c>
      <c r="F142" s="311">
        <f>VLOOKUP(3528,季財報!A:H,6)</f>
        <v>0</v>
      </c>
      <c r="G142" s="311">
        <f>VLOOKUP(3528,季財報!A:H,7)</f>
        <v>0</v>
      </c>
      <c r="H142" s="312"/>
      <c r="I142" s="312"/>
      <c r="J142" s="312"/>
      <c r="K142" s="312"/>
      <c r="L142" s="312"/>
      <c r="M142" s="313"/>
      <c r="N142" s="312">
        <f t="shared" si="2"/>
        <v>1</v>
      </c>
      <c r="O142" s="314"/>
      <c r="P142" s="314"/>
      <c r="Q142" s="314"/>
      <c r="R142" s="314"/>
      <c r="S142" s="315"/>
    </row>
    <row r="143" spans="1:19" s="317" customFormat="1">
      <c r="A143" s="309" t="str">
        <f>HYPERLINK("http://www.wantgoo.com/stock/chart.aspx?stockno=3450","3450")</f>
        <v>3450</v>
      </c>
      <c r="B143" s="310"/>
      <c r="C143" s="311">
        <f>VLOOKUP(3450,季財報!A:H,3)</f>
        <v>1</v>
      </c>
      <c r="D143" s="311">
        <f>VLOOKUP(3450,季財報!A:H,4)</f>
        <v>1</v>
      </c>
      <c r="E143" s="311">
        <f>VLOOKUP(3450,季財報!A:H,5)</f>
        <v>0</v>
      </c>
      <c r="F143" s="311">
        <f>VLOOKUP(3450,季財報!A:H,6)</f>
        <v>1</v>
      </c>
      <c r="G143" s="311">
        <f>VLOOKUP(3450,季財報!A:H,7)</f>
        <v>0</v>
      </c>
      <c r="H143" s="312"/>
      <c r="I143" s="312"/>
      <c r="J143" s="312"/>
      <c r="K143" s="312"/>
      <c r="L143" s="312"/>
      <c r="M143" s="313"/>
      <c r="N143" s="312">
        <f t="shared" si="2"/>
        <v>3</v>
      </c>
      <c r="O143" s="314"/>
      <c r="P143" s="314"/>
      <c r="Q143" s="314"/>
      <c r="R143" s="314"/>
      <c r="S143" s="315"/>
    </row>
    <row r="144" spans="1:19" s="317" customFormat="1">
      <c r="A144" s="309" t="str">
        <f>HYPERLINK("http://www.wantgoo.com/stock/chart.aspx?stockno=4930","4930")</f>
        <v>4930</v>
      </c>
      <c r="B144" s="310"/>
      <c r="C144" s="311">
        <f>VLOOKUP(4930,季財報!A:H,3)</f>
        <v>0</v>
      </c>
      <c r="D144" s="311">
        <f>VLOOKUP(4930,季財報!A:H,4)</f>
        <v>1</v>
      </c>
      <c r="E144" s="311">
        <f>VLOOKUP(4930,季財報!A:H,5)</f>
        <v>1</v>
      </c>
      <c r="F144" s="311">
        <f>VLOOKUP(4930,季財報!A:H,6)</f>
        <v>0</v>
      </c>
      <c r="G144" s="311">
        <f>VLOOKUP(4930,季財報!A:H,7)</f>
        <v>1</v>
      </c>
      <c r="H144" s="312"/>
      <c r="I144" s="312"/>
      <c r="J144" s="312"/>
      <c r="K144" s="312"/>
      <c r="L144" s="312"/>
      <c r="M144" s="313"/>
      <c r="N144" s="312">
        <f t="shared" si="2"/>
        <v>3</v>
      </c>
      <c r="O144" s="314"/>
      <c r="P144" s="314"/>
      <c r="Q144" s="314"/>
      <c r="R144" s="314"/>
      <c r="S144" s="315"/>
    </row>
    <row r="145" spans="1:19" s="317" customFormat="1">
      <c r="A145" s="309" t="str">
        <f>HYPERLINK("http://www.wantgoo.com/stock/chart.aspx?stockno=3498","3498")</f>
        <v>3498</v>
      </c>
      <c r="B145" s="310"/>
      <c r="C145" s="311">
        <f>VLOOKUP(3498,季財報!A:H,3)</f>
        <v>1</v>
      </c>
      <c r="D145" s="311">
        <f>VLOOKUP(3498,季財報!A:H,4)</f>
        <v>1</v>
      </c>
      <c r="E145" s="311">
        <f>VLOOKUP(3498,季財報!A:H,5)</f>
        <v>1</v>
      </c>
      <c r="F145" s="311">
        <f>VLOOKUP(3498,季財報!A:H,6)</f>
        <v>1</v>
      </c>
      <c r="G145" s="311">
        <f>VLOOKUP(3498,季財報!A:H,7)</f>
        <v>0</v>
      </c>
      <c r="H145" s="312"/>
      <c r="I145" s="312"/>
      <c r="J145" s="312"/>
      <c r="K145" s="312"/>
      <c r="L145" s="312"/>
      <c r="M145" s="313"/>
      <c r="N145" s="312">
        <f t="shared" si="2"/>
        <v>4</v>
      </c>
      <c r="O145" s="314"/>
      <c r="P145" s="314"/>
      <c r="Q145" s="314"/>
      <c r="R145" s="314"/>
      <c r="S145" s="315"/>
    </row>
    <row r="146" spans="1:19" s="317" customFormat="1">
      <c r="A146" s="309" t="str">
        <f>HYPERLINK("http://www.wantgoo.com/stock/chart.aspx?stockno=2107","2107")</f>
        <v>2107</v>
      </c>
      <c r="B146" s="310"/>
      <c r="C146" s="311">
        <f>VLOOKUP(2107,季財報!A:H,3)</f>
        <v>0</v>
      </c>
      <c r="D146" s="311">
        <f>VLOOKUP(2107,季財報!A:H,4)</f>
        <v>1</v>
      </c>
      <c r="E146" s="311">
        <f>VLOOKUP(2107,季財報!A:H,5)</f>
        <v>0</v>
      </c>
      <c r="F146" s="311">
        <f>VLOOKUP(2107,季財報!A:H,6)</f>
        <v>1</v>
      </c>
      <c r="G146" s="311">
        <f>VLOOKUP(2107,季財報!A:H,7)</f>
        <v>0</v>
      </c>
      <c r="H146" s="312"/>
      <c r="I146" s="312"/>
      <c r="J146" s="312"/>
      <c r="K146" s="312"/>
      <c r="L146" s="312"/>
      <c r="M146" s="313"/>
      <c r="N146" s="312">
        <f t="shared" si="2"/>
        <v>2</v>
      </c>
      <c r="O146" s="314"/>
      <c r="P146" s="314"/>
      <c r="Q146" s="314"/>
      <c r="R146" s="314"/>
      <c r="S146" s="315"/>
    </row>
    <row r="147" spans="1:19" s="317" customFormat="1">
      <c r="A147" s="309" t="str">
        <f>HYPERLINK("http://www.wantgoo.com/stock/chart.aspx?stockno=3078","3078")</f>
        <v>3078</v>
      </c>
      <c r="B147" s="310"/>
      <c r="C147" s="311">
        <f>VLOOKUP(3078,季財報!A:H,3)</f>
        <v>1</v>
      </c>
      <c r="D147" s="311">
        <f>VLOOKUP(3078,季財報!A:H,4)</f>
        <v>1</v>
      </c>
      <c r="E147" s="311">
        <f>VLOOKUP(3078,季財報!A:H,5)</f>
        <v>2</v>
      </c>
      <c r="F147" s="311">
        <f>VLOOKUP(3078,季財報!A:H,6)</f>
        <v>0</v>
      </c>
      <c r="G147" s="311">
        <f>VLOOKUP(3078,季財報!A:H,7)</f>
        <v>0</v>
      </c>
      <c r="H147" s="312"/>
      <c r="I147" s="312"/>
      <c r="J147" s="312"/>
      <c r="K147" s="312"/>
      <c r="L147" s="312"/>
      <c r="M147" s="313"/>
      <c r="N147" s="312">
        <f t="shared" si="2"/>
        <v>4</v>
      </c>
      <c r="O147" s="314"/>
      <c r="P147" s="314"/>
      <c r="Q147" s="314"/>
      <c r="R147" s="314"/>
      <c r="S147" s="315"/>
    </row>
    <row r="148" spans="1:19" s="317" customFormat="1">
      <c r="A148" s="309" t="str">
        <f>HYPERLINK("http://www.wantgoo.com/stock/chart.aspx?stockno=3356","3356")</f>
        <v>3356</v>
      </c>
      <c r="B148" s="310"/>
      <c r="C148" s="311">
        <f>VLOOKUP(3356,季財報!A:H,3)</f>
        <v>0</v>
      </c>
      <c r="D148" s="311">
        <f>VLOOKUP(3356,季財報!A:H,4)</f>
        <v>1</v>
      </c>
      <c r="E148" s="311">
        <f>VLOOKUP(3356,季財報!A:H,5)</f>
        <v>2</v>
      </c>
      <c r="F148" s="311">
        <f>VLOOKUP(3356,季財報!A:H,6)</f>
        <v>1</v>
      </c>
      <c r="G148" s="311">
        <f>VLOOKUP(3356,季財報!A:H,7)</f>
        <v>0</v>
      </c>
      <c r="H148" s="312"/>
      <c r="I148" s="312"/>
      <c r="J148" s="312"/>
      <c r="K148" s="312"/>
      <c r="L148" s="312"/>
      <c r="M148" s="313"/>
      <c r="N148" s="312">
        <f t="shared" si="2"/>
        <v>4</v>
      </c>
      <c r="O148" s="314"/>
      <c r="P148" s="314"/>
      <c r="Q148" s="314"/>
      <c r="R148" s="314"/>
      <c r="S148" s="315"/>
    </row>
    <row r="149" spans="1:19" s="317" customFormat="1">
      <c r="A149" s="309" t="str">
        <f>HYPERLINK("http://www.wantgoo.com/stock/chart.aspx?stockno=3623","3623")</f>
        <v>3623</v>
      </c>
      <c r="B149" s="310"/>
      <c r="C149" s="311">
        <f>VLOOKUP(3623,季財報!A:H,3)</f>
        <v>0</v>
      </c>
      <c r="D149" s="311">
        <f>VLOOKUP(3623,季財報!A:H,4)</f>
        <v>1</v>
      </c>
      <c r="E149" s="311">
        <f>VLOOKUP(3623,季財報!A:H,5)</f>
        <v>1</v>
      </c>
      <c r="F149" s="311">
        <f>VLOOKUP(3623,季財報!A:H,6)</f>
        <v>1</v>
      </c>
      <c r="G149" s="311">
        <f>VLOOKUP(3623,季財報!A:H,7)</f>
        <v>0</v>
      </c>
      <c r="H149" s="312"/>
      <c r="I149" s="312"/>
      <c r="J149" s="312"/>
      <c r="K149" s="312"/>
      <c r="L149" s="312"/>
      <c r="M149" s="313"/>
      <c r="N149" s="312">
        <f t="shared" si="2"/>
        <v>3</v>
      </c>
      <c r="O149" s="314"/>
      <c r="P149" s="314"/>
      <c r="Q149" s="314"/>
      <c r="R149" s="314"/>
      <c r="S149" s="315"/>
    </row>
    <row r="150" spans="1:19" s="317" customFormat="1">
      <c r="A150" s="309" t="str">
        <f>HYPERLINK("http://www.wantgoo.com/stock/chart.aspx?stockno=5489","5489")</f>
        <v>5489</v>
      </c>
      <c r="B150" s="310"/>
      <c r="C150" s="311">
        <f>VLOOKUP(5489,季財報!A:H,3)</f>
        <v>0</v>
      </c>
      <c r="D150" s="311">
        <f>VLOOKUP(5489,季財報!A:H,4)</f>
        <v>1</v>
      </c>
      <c r="E150" s="311">
        <f>VLOOKUP(5489,季財報!A:H,5)</f>
        <v>0</v>
      </c>
      <c r="F150" s="311">
        <f>VLOOKUP(5489,季財報!A:H,6)</f>
        <v>1</v>
      </c>
      <c r="G150" s="311">
        <f>VLOOKUP(5489,季財報!A:H,7)</f>
        <v>0</v>
      </c>
      <c r="H150" s="312"/>
      <c r="I150" s="312"/>
      <c r="J150" s="312"/>
      <c r="K150" s="312"/>
      <c r="L150" s="312"/>
      <c r="M150" s="313"/>
      <c r="N150" s="312">
        <f t="shared" si="2"/>
        <v>2</v>
      </c>
      <c r="O150" s="314"/>
      <c r="P150" s="314"/>
      <c r="Q150" s="314"/>
      <c r="R150" s="314"/>
      <c r="S150" s="315"/>
    </row>
    <row r="151" spans="1:19" s="317" customFormat="1">
      <c r="A151" s="309" t="str">
        <f>HYPERLINK("http://www.wantgoo.com/stock/chart.aspx?stockno=3038","3038")</f>
        <v>3038</v>
      </c>
      <c r="B151" s="310"/>
      <c r="C151" s="311">
        <f>VLOOKUP(3038,季財報!A:H,3)</f>
        <v>1</v>
      </c>
      <c r="D151" s="311">
        <f>VLOOKUP(3038,季財報!A:H,4)</f>
        <v>1</v>
      </c>
      <c r="E151" s="311">
        <f>VLOOKUP(3038,季財報!A:H,5)</f>
        <v>0</v>
      </c>
      <c r="F151" s="311">
        <f>VLOOKUP(3038,季財報!A:H,6)</f>
        <v>1</v>
      </c>
      <c r="G151" s="311">
        <f>VLOOKUP(3038,季財報!A:H,7)</f>
        <v>0</v>
      </c>
      <c r="H151" s="312"/>
      <c r="I151" s="312"/>
      <c r="J151" s="312"/>
      <c r="K151" s="312"/>
      <c r="L151" s="312"/>
      <c r="M151" s="313"/>
      <c r="N151" s="312">
        <f t="shared" si="2"/>
        <v>3</v>
      </c>
      <c r="O151" s="314"/>
      <c r="P151" s="314"/>
      <c r="Q151" s="314"/>
      <c r="R151" s="314"/>
      <c r="S151" s="315"/>
    </row>
    <row r="152" spans="1:19" s="317" customFormat="1">
      <c r="A152" s="309" t="str">
        <f>HYPERLINK("http://www.wantgoo.com/stock/chart.aspx?stockno=8048","8048")</f>
        <v>8048</v>
      </c>
      <c r="B152" s="310"/>
      <c r="C152" s="311">
        <f>VLOOKUP(8048,季財報!A:H,3)</f>
        <v>1</v>
      </c>
      <c r="D152" s="311">
        <f>VLOOKUP(8048,季財報!A:H,4)</f>
        <v>1</v>
      </c>
      <c r="E152" s="311">
        <f>VLOOKUP(8048,季財報!A:H,5)</f>
        <v>2</v>
      </c>
      <c r="F152" s="311">
        <f>VLOOKUP(8048,季財報!A:H,6)</f>
        <v>1</v>
      </c>
      <c r="G152" s="311">
        <f>VLOOKUP(8048,季財報!A:H,7)</f>
        <v>0</v>
      </c>
      <c r="H152" s="312"/>
      <c r="I152" s="312"/>
      <c r="J152" s="312"/>
      <c r="K152" s="312"/>
      <c r="L152" s="312"/>
      <c r="M152" s="313"/>
      <c r="N152" s="312">
        <f t="shared" si="2"/>
        <v>5</v>
      </c>
      <c r="O152" s="314"/>
      <c r="P152" s="314"/>
      <c r="Q152" s="314"/>
      <c r="R152" s="314"/>
      <c r="S152" s="315"/>
    </row>
    <row r="153" spans="1:19" s="317" customFormat="1">
      <c r="A153" s="309" t="str">
        <f>HYPERLINK("http://www.wantgoo.com/stock/chart.aspx?stockno=3090","3090")</f>
        <v>3090</v>
      </c>
      <c r="B153" s="310"/>
      <c r="C153" s="311">
        <f>VLOOKUP(3090,季財報!A:H,3)</f>
        <v>0</v>
      </c>
      <c r="D153" s="311">
        <f>VLOOKUP(3090,季財報!A:H,4)</f>
        <v>1</v>
      </c>
      <c r="E153" s="311">
        <f>VLOOKUP(3090,季財報!A:H,5)</f>
        <v>0</v>
      </c>
      <c r="F153" s="311">
        <f>VLOOKUP(3090,季財報!A:H,6)</f>
        <v>1</v>
      </c>
      <c r="G153" s="311">
        <f>VLOOKUP(3090,季財報!A:H,7)</f>
        <v>0</v>
      </c>
      <c r="H153" s="312"/>
      <c r="I153" s="312"/>
      <c r="J153" s="312"/>
      <c r="K153" s="312"/>
      <c r="L153" s="312"/>
      <c r="M153" s="313"/>
      <c r="N153" s="312">
        <f t="shared" si="2"/>
        <v>2</v>
      </c>
      <c r="O153" s="314"/>
      <c r="P153" s="314"/>
      <c r="Q153" s="314"/>
      <c r="R153" s="314"/>
      <c r="S153" s="315"/>
    </row>
    <row r="154" spans="1:19" s="317" customFormat="1">
      <c r="A154" s="309" t="str">
        <f>HYPERLINK("http://www.wantgoo.com/stock/chart.aspx?stockno=3005","3005")</f>
        <v>3005</v>
      </c>
      <c r="B154" s="310"/>
      <c r="C154" s="311">
        <f>VLOOKUP(3005,季財報!A:H,3)</f>
        <v>0</v>
      </c>
      <c r="D154" s="311">
        <f>VLOOKUP(3005,季財報!A:H,4)</f>
        <v>1</v>
      </c>
      <c r="E154" s="311">
        <f>VLOOKUP(3005,季財報!A:H,5)</f>
        <v>0</v>
      </c>
      <c r="F154" s="311">
        <f>VLOOKUP(3005,季財報!A:H,6)</f>
        <v>1</v>
      </c>
      <c r="G154" s="311">
        <f>VLOOKUP(3005,季財報!A:H,7)</f>
        <v>0</v>
      </c>
      <c r="H154" s="312"/>
      <c r="I154" s="312"/>
      <c r="J154" s="312"/>
      <c r="K154" s="312"/>
      <c r="L154" s="312"/>
      <c r="M154" s="313"/>
      <c r="N154" s="312">
        <f t="shared" si="2"/>
        <v>2</v>
      </c>
      <c r="O154" s="314"/>
      <c r="P154" s="314"/>
      <c r="Q154" s="314"/>
      <c r="R154" s="314"/>
      <c r="S154" s="315"/>
    </row>
    <row r="155" spans="1:19" s="317" customFormat="1">
      <c r="A155" s="309" t="str">
        <f>HYPERLINK("http://www.wantgoo.com/stock/chart.aspx?stockno=4506","4506")</f>
        <v>4506</v>
      </c>
      <c r="B155" s="310"/>
      <c r="C155" s="311">
        <f>VLOOKUP(4506,季財報!A:H,3)</f>
        <v>1</v>
      </c>
      <c r="D155" s="311">
        <f>VLOOKUP(4506,季財報!A:H,4)</f>
        <v>1</v>
      </c>
      <c r="E155" s="311">
        <f>VLOOKUP(4506,季財報!A:H,5)</f>
        <v>2</v>
      </c>
      <c r="F155" s="311">
        <f>VLOOKUP(4506,季財報!A:H,6)</f>
        <v>1</v>
      </c>
      <c r="G155" s="311">
        <f>VLOOKUP(4506,季財報!A:H,7)</f>
        <v>1</v>
      </c>
      <c r="H155" s="312"/>
      <c r="I155" s="312"/>
      <c r="J155" s="312"/>
      <c r="K155" s="312"/>
      <c r="L155" s="312"/>
      <c r="M155" s="313"/>
      <c r="N155" s="312">
        <f t="shared" si="2"/>
        <v>6</v>
      </c>
      <c r="O155" s="314"/>
      <c r="P155" s="314"/>
      <c r="Q155" s="314"/>
      <c r="R155" s="314"/>
      <c r="S155" s="315"/>
    </row>
    <row r="156" spans="1:19" s="317" customFormat="1">
      <c r="A156" s="309" t="str">
        <f>HYPERLINK("http://www.wantgoo.com/stock/chart.aspx?stockno=1323","1323")</f>
        <v>1323</v>
      </c>
      <c r="B156" s="310"/>
      <c r="C156" s="311">
        <f>VLOOKUP(1323,季財報!A:H,3)</f>
        <v>0</v>
      </c>
      <c r="D156" s="311">
        <f>VLOOKUP(1323,季財報!A:H,4)</f>
        <v>1</v>
      </c>
      <c r="E156" s="311">
        <f>VLOOKUP(1323,季財報!A:H,5)</f>
        <v>0</v>
      </c>
      <c r="F156" s="311">
        <f>VLOOKUP(1323,季財報!A:H,6)</f>
        <v>1</v>
      </c>
      <c r="G156" s="311">
        <f>VLOOKUP(1323,季財報!A:H,7)</f>
        <v>0</v>
      </c>
      <c r="H156" s="312"/>
      <c r="I156" s="312"/>
      <c r="J156" s="312"/>
      <c r="K156" s="312"/>
      <c r="L156" s="312"/>
      <c r="M156" s="313"/>
      <c r="N156" s="312">
        <f t="shared" si="2"/>
        <v>2</v>
      </c>
      <c r="O156" s="314"/>
      <c r="P156" s="314"/>
      <c r="Q156" s="314"/>
      <c r="R156" s="314"/>
      <c r="S156" s="315"/>
    </row>
    <row r="157" spans="1:19" s="317" customFormat="1">
      <c r="A157" s="309" t="str">
        <f>HYPERLINK("http://www.wantgoo.com/stock/chart.aspx?stockno=2302","2302")</f>
        <v>2302</v>
      </c>
      <c r="B157" s="310"/>
      <c r="C157" s="311">
        <f>VLOOKUP(2302,季財報!A:H,3)</f>
        <v>0</v>
      </c>
      <c r="D157" s="311">
        <f>VLOOKUP(2302,季財報!A:H,4)</f>
        <v>1</v>
      </c>
      <c r="E157" s="311">
        <f>VLOOKUP(2302,季財報!A:H,5)</f>
        <v>0</v>
      </c>
      <c r="F157" s="311">
        <f>VLOOKUP(2302,季財報!A:H,6)</f>
        <v>1</v>
      </c>
      <c r="G157" s="311">
        <f>VLOOKUP(2302,季財報!A:H,7)</f>
        <v>0</v>
      </c>
      <c r="H157" s="312"/>
      <c r="I157" s="312"/>
      <c r="J157" s="312"/>
      <c r="K157" s="312"/>
      <c r="L157" s="312"/>
      <c r="M157" s="313"/>
      <c r="N157" s="312">
        <f t="shared" si="2"/>
        <v>2</v>
      </c>
      <c r="O157" s="314"/>
      <c r="P157" s="314"/>
      <c r="Q157" s="314"/>
      <c r="R157" s="314"/>
      <c r="S157" s="315"/>
    </row>
    <row r="158" spans="1:19" s="317" customFormat="1">
      <c r="A158" s="309" t="str">
        <f>HYPERLINK("http://www.wantgoo.com/stock/chart.aspx?stockno=8271","8271")</f>
        <v>8271</v>
      </c>
      <c r="B158" s="310"/>
      <c r="C158" s="311">
        <f>VLOOKUP(8271,季財報!A:H,3)</f>
        <v>0</v>
      </c>
      <c r="D158" s="311">
        <f>VLOOKUP(8271,季財報!A:H,4)</f>
        <v>0</v>
      </c>
      <c r="E158" s="311">
        <f>VLOOKUP(8271,季財報!A:H,5)</f>
        <v>1</v>
      </c>
      <c r="F158" s="311">
        <f>VLOOKUP(8271,季財報!A:H,6)</f>
        <v>1</v>
      </c>
      <c r="G158" s="311">
        <f>VLOOKUP(8271,季財報!A:H,7)</f>
        <v>0</v>
      </c>
      <c r="H158" s="312"/>
      <c r="I158" s="312"/>
      <c r="J158" s="312"/>
      <c r="K158" s="312"/>
      <c r="L158" s="312"/>
      <c r="M158" s="313"/>
      <c r="N158" s="312">
        <f t="shared" si="2"/>
        <v>2</v>
      </c>
      <c r="O158" s="314"/>
      <c r="P158" s="314"/>
      <c r="Q158" s="314"/>
      <c r="R158" s="314"/>
      <c r="S158" s="315"/>
    </row>
    <row r="159" spans="1:19" s="317" customFormat="1">
      <c r="A159" s="309" t="str">
        <f>HYPERLINK("http://www.wantgoo.com/stock/chart.aspx?stockno=6274","6274")</f>
        <v>6274</v>
      </c>
      <c r="B159" s="310"/>
      <c r="C159" s="311">
        <f>VLOOKUP(6274,季財報!A:H,3)</f>
        <v>1</v>
      </c>
      <c r="D159" s="311">
        <f>VLOOKUP(6274,季財報!A:H,4)</f>
        <v>1</v>
      </c>
      <c r="E159" s="311">
        <f>VLOOKUP(6274,季財報!A:H,5)</f>
        <v>0</v>
      </c>
      <c r="F159" s="311">
        <f>VLOOKUP(6274,季財報!A:H,6)</f>
        <v>1</v>
      </c>
      <c r="G159" s="311">
        <f>VLOOKUP(6274,季財報!A:H,7)</f>
        <v>0</v>
      </c>
      <c r="H159" s="312"/>
      <c r="I159" s="312"/>
      <c r="J159" s="312"/>
      <c r="K159" s="312"/>
      <c r="L159" s="312"/>
      <c r="M159" s="313"/>
      <c r="N159" s="312">
        <f t="shared" si="2"/>
        <v>3</v>
      </c>
      <c r="O159" s="314"/>
      <c r="P159" s="314"/>
      <c r="Q159" s="314"/>
      <c r="R159" s="314"/>
      <c r="S159" s="315"/>
    </row>
    <row r="160" spans="1:19" s="317" customFormat="1">
      <c r="A160" s="309" t="str">
        <f>HYPERLINK("http://www.wantgoo.com/stock/chart.aspx?stockno=9911","9911")</f>
        <v>9911</v>
      </c>
      <c r="B160" s="310"/>
      <c r="C160" s="311">
        <f>VLOOKUP(9911,季財報!A:H,3)</f>
        <v>0</v>
      </c>
      <c r="D160" s="311">
        <f>VLOOKUP(9911,季財報!A:H,4)</f>
        <v>1</v>
      </c>
      <c r="E160" s="311">
        <f>VLOOKUP(9911,季財報!A:H,5)</f>
        <v>0</v>
      </c>
      <c r="F160" s="311">
        <f>VLOOKUP(9911,季財報!A:H,6)</f>
        <v>1</v>
      </c>
      <c r="G160" s="311">
        <f>VLOOKUP(9911,季財報!A:H,7)</f>
        <v>0</v>
      </c>
      <c r="H160" s="312"/>
      <c r="I160" s="312"/>
      <c r="J160" s="312"/>
      <c r="K160" s="312"/>
      <c r="L160" s="312"/>
      <c r="M160" s="313"/>
      <c r="N160" s="312">
        <f t="shared" si="2"/>
        <v>2</v>
      </c>
      <c r="O160" s="314"/>
      <c r="P160" s="314"/>
      <c r="Q160" s="314"/>
      <c r="R160" s="314"/>
      <c r="S160" s="315"/>
    </row>
    <row r="161" spans="1:19" s="317" customFormat="1">
      <c r="A161" s="309" t="str">
        <f>HYPERLINK("http://www.wantgoo.com/stock/chart.aspx?stockno=6298","6298")</f>
        <v>6298</v>
      </c>
      <c r="B161" s="310"/>
      <c r="C161" s="311">
        <f>VLOOKUP(6298,季財報!A:H,3)</f>
        <v>0</v>
      </c>
      <c r="D161" s="311">
        <f>VLOOKUP(6298,季財報!A:H,4)</f>
        <v>1</v>
      </c>
      <c r="E161" s="311">
        <f>VLOOKUP(6298,季財報!A:H,5)</f>
        <v>1</v>
      </c>
      <c r="F161" s="311">
        <f>VLOOKUP(6298,季財報!A:H,6)</f>
        <v>1</v>
      </c>
      <c r="G161" s="311">
        <f>VLOOKUP(6298,季財報!A:H,7)</f>
        <v>0</v>
      </c>
      <c r="H161" s="312"/>
      <c r="I161" s="312"/>
      <c r="J161" s="312"/>
      <c r="K161" s="312"/>
      <c r="L161" s="312"/>
      <c r="M161" s="313"/>
      <c r="N161" s="312">
        <f t="shared" si="2"/>
        <v>3</v>
      </c>
      <c r="O161" s="314"/>
      <c r="P161" s="314"/>
      <c r="Q161" s="314"/>
      <c r="R161" s="314"/>
      <c r="S161" s="315"/>
    </row>
    <row r="162" spans="1:19" s="317" customFormat="1">
      <c r="A162" s="309" t="str">
        <f>HYPERLINK("http://www.wantgoo.com/stock/chart.aspx?stockno=6192","6192")</f>
        <v>6192</v>
      </c>
      <c r="B162" s="310"/>
      <c r="C162" s="311">
        <f>VLOOKUP(6192,季財報!A:H,3)</f>
        <v>0</v>
      </c>
      <c r="D162" s="311">
        <f>VLOOKUP(6192,季財報!A:H,4)</f>
        <v>1</v>
      </c>
      <c r="E162" s="311">
        <f>VLOOKUP(6192,季財報!A:H,5)</f>
        <v>1</v>
      </c>
      <c r="F162" s="311">
        <f>VLOOKUP(6192,季財報!A:H,6)</f>
        <v>1</v>
      </c>
      <c r="G162" s="311">
        <f>VLOOKUP(6192,季財報!A:H,7)</f>
        <v>0</v>
      </c>
      <c r="H162" s="312"/>
      <c r="I162" s="312"/>
      <c r="J162" s="312"/>
      <c r="K162" s="312"/>
      <c r="L162" s="312"/>
      <c r="M162" s="313"/>
      <c r="N162" s="312">
        <f t="shared" si="2"/>
        <v>3</v>
      </c>
      <c r="O162" s="314"/>
      <c r="P162" s="314"/>
      <c r="Q162" s="314"/>
      <c r="R162" s="314"/>
      <c r="S162" s="315"/>
    </row>
    <row r="163" spans="1:19" s="317" customFormat="1">
      <c r="A163" s="309" t="str">
        <f>HYPERLINK("http://www.wantgoo.com/stock/chart.aspx?stockno=3684","3684")</f>
        <v>3684</v>
      </c>
      <c r="B163" s="310"/>
      <c r="C163" s="311">
        <f>VLOOKUP(3684,季財報!A:H,3)</f>
        <v>1</v>
      </c>
      <c r="D163" s="311">
        <f>VLOOKUP(3684,季財報!A:H,4)</f>
        <v>1</v>
      </c>
      <c r="E163" s="311">
        <f>VLOOKUP(3684,季財報!A:H,5)</f>
        <v>0</v>
      </c>
      <c r="F163" s="311">
        <f>VLOOKUP(3684,季財報!A:H,6)</f>
        <v>1</v>
      </c>
      <c r="G163" s="311">
        <f>VLOOKUP(3684,季財報!A:H,7)</f>
        <v>0</v>
      </c>
      <c r="H163" s="312"/>
      <c r="I163" s="312"/>
      <c r="J163" s="312"/>
      <c r="K163" s="312"/>
      <c r="L163" s="312"/>
      <c r="M163" s="313"/>
      <c r="N163" s="312">
        <f t="shared" si="2"/>
        <v>3</v>
      </c>
      <c r="O163" s="314"/>
      <c r="P163" s="314"/>
      <c r="Q163" s="314"/>
      <c r="R163" s="314"/>
      <c r="S163" s="315"/>
    </row>
    <row r="164" spans="1:19" s="317" customFormat="1">
      <c r="A164" s="309" t="str">
        <f>HYPERLINK("http://www.wantgoo.com/stock/chart.aspx?stockno=2317","2317")</f>
        <v>2317</v>
      </c>
      <c r="B164" s="310"/>
      <c r="C164" s="311">
        <f>VLOOKUP(2317,季財報!A:H,3)</f>
        <v>0</v>
      </c>
      <c r="D164" s="311">
        <f>VLOOKUP(2317,季財報!A:H,4)</f>
        <v>1</v>
      </c>
      <c r="E164" s="311">
        <f>VLOOKUP(2317,季財報!A:H,5)</f>
        <v>0</v>
      </c>
      <c r="F164" s="311">
        <f>VLOOKUP(2317,季財報!A:H,6)</f>
        <v>0</v>
      </c>
      <c r="G164" s="311">
        <f>VLOOKUP(2317,季財報!A:H,7)</f>
        <v>0</v>
      </c>
      <c r="H164" s="312"/>
      <c r="I164" s="312"/>
      <c r="J164" s="312"/>
      <c r="K164" s="312"/>
      <c r="L164" s="312"/>
      <c r="M164" s="313"/>
      <c r="N164" s="312">
        <f t="shared" si="2"/>
        <v>1</v>
      </c>
      <c r="O164" s="314"/>
      <c r="P164" s="314"/>
      <c r="Q164" s="314"/>
      <c r="R164" s="314"/>
      <c r="S164" s="315"/>
    </row>
    <row r="165" spans="1:19" s="317" customFormat="1">
      <c r="A165" s="309" t="str">
        <f>HYPERLINK("http://www.wantgoo.com/stock/chart.aspx?stockno=6206","6206")</f>
        <v>6206</v>
      </c>
      <c r="B165" s="310"/>
      <c r="C165" s="311">
        <f>VLOOKUP(6206,季財報!A:H,3)</f>
        <v>0</v>
      </c>
      <c r="D165" s="311">
        <f>VLOOKUP(6206,季財報!A:H,4)</f>
        <v>1</v>
      </c>
      <c r="E165" s="311">
        <f>VLOOKUP(6206,季財報!A:H,5)</f>
        <v>0</v>
      </c>
      <c r="F165" s="311">
        <f>VLOOKUP(6206,季財報!A:H,6)</f>
        <v>1</v>
      </c>
      <c r="G165" s="311">
        <f>VLOOKUP(6206,季財報!A:H,7)</f>
        <v>0</v>
      </c>
      <c r="H165" s="312"/>
      <c r="I165" s="312"/>
      <c r="J165" s="312"/>
      <c r="K165" s="312"/>
      <c r="L165" s="312"/>
      <c r="M165" s="313"/>
      <c r="N165" s="312">
        <f t="shared" si="2"/>
        <v>2</v>
      </c>
      <c r="O165" s="314"/>
      <c r="P165" s="314"/>
      <c r="Q165" s="314"/>
      <c r="R165" s="314"/>
      <c r="S165" s="315"/>
    </row>
    <row r="166" spans="1:19">
      <c r="A166" s="307" t="str">
        <f>HYPERLINK("http://www.wantgoo.com/stock/chart.aspx?stockno=8050","8050")</f>
        <v>8050</v>
      </c>
      <c r="C166" s="18">
        <f>VLOOKUP(8050,季財報!A:H,3)</f>
        <v>0</v>
      </c>
      <c r="D166" s="18">
        <f>VLOOKUP(8050,季財報!A:H,4)</f>
        <v>1</v>
      </c>
      <c r="E166" s="18">
        <f>VLOOKUP(8050,季財報!A:H,5)</f>
        <v>0</v>
      </c>
      <c r="F166" s="18">
        <f>VLOOKUP(8050,季財報!A:H,6)</f>
        <v>1</v>
      </c>
      <c r="G166" s="18">
        <f>VLOOKUP(8050,季財報!A:H,7)</f>
        <v>0</v>
      </c>
      <c r="N166" s="20">
        <f t="shared" si="2"/>
        <v>2</v>
      </c>
    </row>
    <row r="167" spans="1:19">
      <c r="A167" s="307" t="str">
        <f>HYPERLINK("http://www.wantgoo.com/stock/chart.aspx?stockno=8150","8150")</f>
        <v>8150</v>
      </c>
      <c r="C167" s="18">
        <f>VLOOKUP(8150,季財報!A:H,3)</f>
        <v>0</v>
      </c>
      <c r="D167" s="18">
        <f>VLOOKUP(8150,季財報!A:H,4)</f>
        <v>1</v>
      </c>
      <c r="E167" s="18">
        <f>VLOOKUP(8150,季財報!A:H,5)</f>
        <v>0</v>
      </c>
      <c r="F167" s="18">
        <f>VLOOKUP(8150,季財報!A:H,6)</f>
        <v>1</v>
      </c>
      <c r="G167" s="18">
        <f>VLOOKUP(8150,季財報!A:H,7)</f>
        <v>0</v>
      </c>
      <c r="N167" s="20">
        <f t="shared" si="2"/>
        <v>2</v>
      </c>
    </row>
    <row r="168" spans="1:19" s="317" customFormat="1">
      <c r="A168" s="309" t="str">
        <f>HYPERLINK("http://www.wantgoo.com/stock/chart.aspx?stockno=6189","6189")</f>
        <v>6189</v>
      </c>
      <c r="B168" s="310"/>
      <c r="C168" s="311">
        <f>VLOOKUP(6189,季財報!A:H,3)</f>
        <v>1</v>
      </c>
      <c r="D168" s="311">
        <f>VLOOKUP(6189,季財報!A:H,4)</f>
        <v>1</v>
      </c>
      <c r="E168" s="311">
        <f>VLOOKUP(6189,季財報!A:H,5)</f>
        <v>1</v>
      </c>
      <c r="F168" s="311">
        <f>VLOOKUP(6189,季財報!A:H,6)</f>
        <v>1</v>
      </c>
      <c r="G168" s="311">
        <f>VLOOKUP(6189,季財報!A:H,7)</f>
        <v>0</v>
      </c>
      <c r="H168" s="312"/>
      <c r="I168" s="312"/>
      <c r="J168" s="312"/>
      <c r="K168" s="312"/>
      <c r="L168" s="312"/>
      <c r="M168" s="313"/>
      <c r="N168" s="312">
        <f t="shared" si="2"/>
        <v>4</v>
      </c>
      <c r="O168" s="314"/>
      <c r="P168" s="314"/>
      <c r="Q168" s="314"/>
      <c r="R168" s="314"/>
      <c r="S168" s="315"/>
    </row>
    <row r="169" spans="1:19">
      <c r="A169" s="307" t="str">
        <f>HYPERLINK("http://www.wantgoo.com/stock/chart.aspx?stockno=1264","1264")</f>
        <v>1264</v>
      </c>
      <c r="C169" s="18">
        <f>VLOOKUP(1264,季財報!A:H,3)</f>
        <v>0</v>
      </c>
      <c r="D169" s="18">
        <f>VLOOKUP(1264,季財報!A:H,4)</f>
        <v>1</v>
      </c>
      <c r="E169" s="18">
        <f>VLOOKUP(1264,季財報!A:H,5)</f>
        <v>0</v>
      </c>
      <c r="F169" s="18">
        <f>VLOOKUP(1264,季財報!A:H,6)</f>
        <v>1</v>
      </c>
      <c r="G169" s="18">
        <f>VLOOKUP(1264,季財報!A:H,7)</f>
        <v>0</v>
      </c>
      <c r="N169" s="20">
        <f t="shared" si="2"/>
        <v>2</v>
      </c>
    </row>
    <row r="170" spans="1:19">
      <c r="A170" s="307" t="str">
        <f>HYPERLINK("http://www.wantgoo.com/stock/chart.aspx?stockno=3060","3060")</f>
        <v>3060</v>
      </c>
      <c r="C170" s="18">
        <f>VLOOKUP(3060,季財報!A:H,3)</f>
        <v>1</v>
      </c>
      <c r="D170" s="18">
        <f>VLOOKUP(3060,季財報!A:H,4)</f>
        <v>1</v>
      </c>
      <c r="E170" s="18">
        <f>VLOOKUP(3060,季財報!A:H,5)</f>
        <v>0</v>
      </c>
      <c r="F170" s="18">
        <f>VLOOKUP(3060,季財報!A:H,6)</f>
        <v>1</v>
      </c>
      <c r="G170" s="18">
        <f>VLOOKUP(3060,季財報!A:H,7)</f>
        <v>0</v>
      </c>
      <c r="N170" s="20">
        <f t="shared" si="2"/>
        <v>3</v>
      </c>
    </row>
    <row r="171" spans="1:19">
      <c r="A171" s="308" t="str">
        <f>HYPERLINK("http://www.wantgoo.com/stock/chart.aspx?stockno=2426","2426")</f>
        <v>2426</v>
      </c>
      <c r="C171" s="18">
        <f>VLOOKUP(2426,季財報!A:H,3)</f>
        <v>0</v>
      </c>
      <c r="D171" s="18">
        <f>VLOOKUP(2426,季財報!A:H,4)</f>
        <v>1</v>
      </c>
      <c r="E171" s="18">
        <f>VLOOKUP(2426,季財報!A:H,5)</f>
        <v>0</v>
      </c>
      <c r="F171" s="18">
        <f>VLOOKUP(2426,季財報!A:H,6)</f>
        <v>1</v>
      </c>
      <c r="G171" s="18">
        <f>VLOOKUP(2426,季財報!A:H,7)</f>
        <v>0</v>
      </c>
      <c r="N171" s="20">
        <f t="shared" si="2"/>
        <v>2</v>
      </c>
    </row>
    <row r="172" spans="1:19" s="317" customFormat="1">
      <c r="A172" s="309" t="str">
        <f>HYPERLINK("http://www.wantgoo.com/stock/chart.aspx?stockno=4991","4991")</f>
        <v>4991</v>
      </c>
      <c r="B172" s="310"/>
      <c r="C172" s="311">
        <f>VLOOKUP(4991,季財報!A:H,3)</f>
        <v>1</v>
      </c>
      <c r="D172" s="311">
        <f>VLOOKUP(4991,季財報!A:H,4)</f>
        <v>1</v>
      </c>
      <c r="E172" s="311">
        <f>VLOOKUP(4991,季財報!A:H,5)</f>
        <v>0</v>
      </c>
      <c r="F172" s="311">
        <f>VLOOKUP(4991,季財報!A:H,6)</f>
        <v>1</v>
      </c>
      <c r="G172" s="311">
        <f>VLOOKUP(4991,季財報!A:H,7)</f>
        <v>1</v>
      </c>
      <c r="H172" s="312"/>
      <c r="I172" s="312"/>
      <c r="J172" s="312"/>
      <c r="K172" s="312"/>
      <c r="L172" s="312"/>
      <c r="M172" s="313"/>
      <c r="N172" s="312">
        <f t="shared" si="2"/>
        <v>4</v>
      </c>
      <c r="O172" s="314"/>
      <c r="P172" s="314"/>
      <c r="Q172" s="314"/>
      <c r="R172" s="314"/>
      <c r="S172" s="315"/>
    </row>
    <row r="173" spans="1:19">
      <c r="A173" s="308" t="str">
        <f>HYPERLINK("http://www.wantgoo.com/stock/chart.aspx?stockno=3206","3206")</f>
        <v>3206</v>
      </c>
      <c r="C173" s="18">
        <f>VLOOKUP(3206,季財報!A:H,3)</f>
        <v>0</v>
      </c>
      <c r="D173" s="18">
        <f>VLOOKUP(3206,季財報!A:H,4)</f>
        <v>0</v>
      </c>
      <c r="E173" s="18">
        <f>VLOOKUP(3206,季財報!A:H,5)</f>
        <v>0</v>
      </c>
      <c r="F173" s="18">
        <f>VLOOKUP(3206,季財報!A:H,6)</f>
        <v>0</v>
      </c>
      <c r="G173" s="18">
        <f>VLOOKUP(3206,季財報!A:H,7)</f>
        <v>0</v>
      </c>
      <c r="N173" s="20">
        <f t="shared" si="2"/>
        <v>0</v>
      </c>
    </row>
    <row r="174" spans="1:19">
      <c r="A174" s="308" t="str">
        <f>HYPERLINK("http://www.wantgoo.com/stock/chart.aspx?stockno=2832","2832")</f>
        <v>2832</v>
      </c>
      <c r="C174" s="18">
        <f>VLOOKUP(2832,季財報!A:H,3)</f>
        <v>0</v>
      </c>
      <c r="D174" s="18">
        <f>VLOOKUP(2832,季財報!A:H,4)</f>
        <v>0</v>
      </c>
      <c r="E174" s="18">
        <f>VLOOKUP(2832,季財報!A:H,5)</f>
        <v>2</v>
      </c>
      <c r="F174" s="18">
        <f>VLOOKUP(2832,季財報!A:H,6)</f>
        <v>0</v>
      </c>
      <c r="G174" s="18">
        <f>VLOOKUP(2832,季財報!A:H,7)</f>
        <v>1</v>
      </c>
      <c r="N174" s="20">
        <f t="shared" si="2"/>
        <v>3</v>
      </c>
    </row>
    <row r="175" spans="1:19">
      <c r="A175" s="308" t="str">
        <f>HYPERLINK("http://www.wantgoo.com/stock/chart.aspx?stockno=4979","4979")</f>
        <v>4979</v>
      </c>
      <c r="C175" s="18">
        <f>VLOOKUP(4979,季財報!A:H,3)</f>
        <v>1</v>
      </c>
      <c r="D175" s="18">
        <f>VLOOKUP(4979,季財報!A:H,4)</f>
        <v>1</v>
      </c>
      <c r="E175" s="18">
        <f>VLOOKUP(4979,季財報!A:H,5)</f>
        <v>0</v>
      </c>
      <c r="F175" s="18">
        <f>VLOOKUP(4979,季財報!A:H,6)</f>
        <v>1</v>
      </c>
      <c r="G175" s="18">
        <f>VLOOKUP(4979,季財報!A:H,7)</f>
        <v>0</v>
      </c>
      <c r="N175" s="20">
        <f t="shared" si="2"/>
        <v>3</v>
      </c>
    </row>
    <row r="176" spans="1:19">
      <c r="A176" s="308" t="str">
        <f>HYPERLINK("http://www.wantgoo.com/stock/chart.aspx?stockno=5213","5213")</f>
        <v>5213</v>
      </c>
      <c r="C176" s="18">
        <f>VLOOKUP(5213,季財報!A:H,3)</f>
        <v>0</v>
      </c>
      <c r="D176" s="18">
        <f>VLOOKUP(5213,季財報!A:H,4)</f>
        <v>1</v>
      </c>
      <c r="E176" s="18">
        <f>VLOOKUP(5213,季財報!A:H,5)</f>
        <v>0</v>
      </c>
      <c r="F176" s="18">
        <f>VLOOKUP(5213,季財報!A:H,6)</f>
        <v>0</v>
      </c>
      <c r="G176" s="18">
        <f>VLOOKUP(5213,季財報!A:H,7)</f>
        <v>0</v>
      </c>
      <c r="N176" s="20">
        <f t="shared" si="2"/>
        <v>1</v>
      </c>
    </row>
    <row r="177" spans="1:19" s="317" customFormat="1">
      <c r="A177" s="309" t="str">
        <f>HYPERLINK("http://www.wantgoo.com/stock/chart.aspx?stockno=8299","8299")</f>
        <v>8299</v>
      </c>
      <c r="B177" s="310"/>
      <c r="C177" s="311">
        <f>VLOOKUP(8299,季財報!A:H,3)</f>
        <v>1</v>
      </c>
      <c r="D177" s="311">
        <f>VLOOKUP(8299,季財報!A:H,4)</f>
        <v>1</v>
      </c>
      <c r="E177" s="311">
        <f>VLOOKUP(8299,季財報!A:H,5)</f>
        <v>1</v>
      </c>
      <c r="F177" s="311">
        <f>VLOOKUP(8299,季財報!A:H,6)</f>
        <v>1</v>
      </c>
      <c r="G177" s="311">
        <f>VLOOKUP(8299,季財報!A:H,7)</f>
        <v>0</v>
      </c>
      <c r="H177" s="312"/>
      <c r="I177" s="312"/>
      <c r="J177" s="312"/>
      <c r="K177" s="312"/>
      <c r="L177" s="312"/>
      <c r="M177" s="313"/>
      <c r="N177" s="312">
        <f t="shared" si="2"/>
        <v>4</v>
      </c>
      <c r="O177" s="314"/>
      <c r="P177" s="314"/>
      <c r="Q177" s="314"/>
      <c r="R177" s="314"/>
      <c r="S177" s="315"/>
    </row>
    <row r="178" spans="1:19" s="317" customFormat="1">
      <c r="A178" s="309" t="str">
        <f>HYPERLINK("http://www.wantgoo.com/stock/chart.aspx?stockno=9924","9924")</f>
        <v>9924</v>
      </c>
      <c r="B178" s="310"/>
      <c r="C178" s="311">
        <f>VLOOKUP(9924,季財報!A:H,3)</f>
        <v>1</v>
      </c>
      <c r="D178" s="311">
        <f>VLOOKUP(9924,季財報!A:H,4)</f>
        <v>1</v>
      </c>
      <c r="E178" s="311">
        <f>VLOOKUP(9924,季財報!A:H,5)</f>
        <v>1</v>
      </c>
      <c r="F178" s="311">
        <f>VLOOKUP(9924,季財報!A:H,6)</f>
        <v>1</v>
      </c>
      <c r="G178" s="311">
        <f>VLOOKUP(9924,季財報!A:H,7)</f>
        <v>0</v>
      </c>
      <c r="H178" s="312"/>
      <c r="I178" s="312"/>
      <c r="J178" s="312"/>
      <c r="K178" s="312"/>
      <c r="L178" s="312"/>
      <c r="M178" s="313"/>
      <c r="N178" s="312">
        <f t="shared" si="2"/>
        <v>4</v>
      </c>
      <c r="O178" s="314"/>
      <c r="P178" s="314"/>
      <c r="Q178" s="314"/>
      <c r="R178" s="314"/>
      <c r="S178" s="315"/>
    </row>
    <row r="179" spans="1:19" s="317" customFormat="1">
      <c r="A179" s="309" t="str">
        <f>HYPERLINK("http://www.wantgoo.com/stock/chart.aspx?stockno=2106","2106")</f>
        <v>2106</v>
      </c>
      <c r="B179" s="310"/>
      <c r="C179" s="311">
        <f>VLOOKUP(2106,季財報!A:H,3)</f>
        <v>1</v>
      </c>
      <c r="D179" s="311">
        <f>VLOOKUP(2106,季財報!A:H,4)</f>
        <v>1</v>
      </c>
      <c r="E179" s="311">
        <f>VLOOKUP(2106,季財報!A:H,5)</f>
        <v>0</v>
      </c>
      <c r="F179" s="311">
        <f>VLOOKUP(2106,季財報!A:H,6)</f>
        <v>1</v>
      </c>
      <c r="G179" s="311">
        <f>VLOOKUP(2106,季財報!A:H,7)</f>
        <v>0</v>
      </c>
      <c r="H179" s="312"/>
      <c r="I179" s="312"/>
      <c r="J179" s="312"/>
      <c r="K179" s="312"/>
      <c r="L179" s="312"/>
      <c r="M179" s="313"/>
      <c r="N179" s="312">
        <f t="shared" si="2"/>
        <v>3</v>
      </c>
      <c r="O179" s="314"/>
      <c r="P179" s="314"/>
      <c r="Q179" s="314"/>
      <c r="R179" s="314"/>
      <c r="S179" s="315"/>
    </row>
    <row r="180" spans="1:19">
      <c r="A180" s="307" t="str">
        <f>HYPERLINK("http://www.wantgoo.com/stock/chart.aspx?stockno=3484","3484")</f>
        <v>3484</v>
      </c>
      <c r="C180" s="18">
        <f>VLOOKUP(3484,季財報!A:H,3)</f>
        <v>0</v>
      </c>
      <c r="D180" s="18">
        <f>VLOOKUP(3484,季財報!A:H,4)</f>
        <v>1</v>
      </c>
      <c r="E180" s="18">
        <f>VLOOKUP(3484,季財報!A:H,5)</f>
        <v>0</v>
      </c>
      <c r="F180" s="18">
        <f>VLOOKUP(3484,季財報!A:H,6)</f>
        <v>0</v>
      </c>
      <c r="G180" s="18">
        <f>VLOOKUP(3484,季財報!A:H,7)</f>
        <v>0</v>
      </c>
      <c r="N180" s="20">
        <f t="shared" si="2"/>
        <v>1</v>
      </c>
    </row>
    <row r="181" spans="1:19">
      <c r="A181" s="307" t="str">
        <f>HYPERLINK("http://www.wantgoo.com/stock/chart.aspx?stockno=5321","5321")</f>
        <v>5321</v>
      </c>
      <c r="C181" s="18">
        <f>VLOOKUP(5321,季財報!A:H,3)</f>
        <v>0</v>
      </c>
      <c r="D181" s="18">
        <f>VLOOKUP(5321,季財報!A:H,4)</f>
        <v>1</v>
      </c>
      <c r="E181" s="18">
        <f>VLOOKUP(5321,季財報!A:H,5)</f>
        <v>0</v>
      </c>
      <c r="F181" s="18">
        <f>VLOOKUP(5321,季財報!A:H,6)</f>
        <v>1</v>
      </c>
      <c r="G181" s="18">
        <f>VLOOKUP(5321,季財報!A:H,7)</f>
        <v>0</v>
      </c>
      <c r="N181" s="20">
        <f t="shared" si="2"/>
        <v>2</v>
      </c>
    </row>
    <row r="182" spans="1:19">
      <c r="A182" s="308" t="str">
        <f>HYPERLINK("http://www.wantgoo.com/stock/chart.aspx?stockno=5533","5533")</f>
        <v>5533</v>
      </c>
      <c r="C182" s="18">
        <f>VLOOKUP(5533,季財報!A:H,3)</f>
        <v>0</v>
      </c>
      <c r="D182" s="18">
        <f>VLOOKUP(5533,季財報!A:H,4)</f>
        <v>1</v>
      </c>
      <c r="E182" s="18">
        <f>VLOOKUP(5533,季財報!A:H,5)</f>
        <v>0</v>
      </c>
      <c r="F182" s="18">
        <f>VLOOKUP(5533,季財報!A:H,6)</f>
        <v>0</v>
      </c>
      <c r="G182" s="18">
        <f>VLOOKUP(5533,季財報!A:H,7)</f>
        <v>0</v>
      </c>
      <c r="N182" s="20">
        <f t="shared" si="2"/>
        <v>1</v>
      </c>
    </row>
    <row r="183" spans="1:19">
      <c r="A183" s="308" t="str">
        <f>HYPERLINK("http://www.wantgoo.com/stock/chart.aspx?stockno=6248","6248")</f>
        <v>6248</v>
      </c>
      <c r="C183" s="18">
        <f>VLOOKUP(6248,季財報!A:H,3)</f>
        <v>0</v>
      </c>
      <c r="D183" s="18">
        <f>VLOOKUP(6248,季財報!A:H,4)</f>
        <v>1</v>
      </c>
      <c r="E183" s="18">
        <f>VLOOKUP(6248,季財報!A:H,5)</f>
        <v>0</v>
      </c>
      <c r="F183" s="18">
        <f>VLOOKUP(6248,季財報!A:H,6)</f>
        <v>1</v>
      </c>
      <c r="G183" s="18">
        <f>VLOOKUP(6248,季財報!A:H,7)</f>
        <v>0</v>
      </c>
      <c r="N183" s="20">
        <f t="shared" si="2"/>
        <v>2</v>
      </c>
    </row>
    <row r="184" spans="1:19">
      <c r="A184" s="307" t="str">
        <f>HYPERLINK("http://www.wantgoo.com/stock/chart.aspx?stockno=5493","5493")</f>
        <v>5493</v>
      </c>
      <c r="C184" s="18">
        <f>VLOOKUP(5493,季財報!A:H,3)</f>
        <v>0</v>
      </c>
      <c r="D184" s="18">
        <f>VLOOKUP(5493,季財報!A:H,4)</f>
        <v>1</v>
      </c>
      <c r="E184" s="18">
        <f>VLOOKUP(5493,季財報!A:H,5)</f>
        <v>1</v>
      </c>
      <c r="F184" s="18">
        <f>VLOOKUP(5493,季財報!A:H,6)</f>
        <v>0</v>
      </c>
      <c r="G184" s="18">
        <f>VLOOKUP(5493,季財報!A:H,7)</f>
        <v>0</v>
      </c>
      <c r="N184" s="20">
        <f t="shared" si="2"/>
        <v>2</v>
      </c>
    </row>
    <row r="185" spans="1:19">
      <c r="A185" s="307" t="str">
        <f>HYPERLINK("http://www.wantgoo.com/stock/chart.aspx?stockno=6277","6277")</f>
        <v>6277</v>
      </c>
      <c r="C185" s="18">
        <f>VLOOKUP(6277,季財報!A:H,3)</f>
        <v>0</v>
      </c>
      <c r="D185" s="18">
        <f>VLOOKUP(6277,季財報!A:H,4)</f>
        <v>1</v>
      </c>
      <c r="E185" s="18">
        <f>VLOOKUP(6277,季財報!A:H,5)</f>
        <v>0</v>
      </c>
      <c r="F185" s="18">
        <f>VLOOKUP(6277,季財報!A:H,6)</f>
        <v>1</v>
      </c>
      <c r="G185" s="18">
        <f>VLOOKUP(6277,季財報!A:H,7)</f>
        <v>0</v>
      </c>
      <c r="N185" s="20">
        <f t="shared" si="2"/>
        <v>2</v>
      </c>
    </row>
    <row r="186" spans="1:19">
      <c r="A186" s="307" t="str">
        <f>HYPERLINK("http://www.wantgoo.com/stock/chart.aspx?stockno=1560","1560")</f>
        <v>1560</v>
      </c>
      <c r="C186" s="18">
        <f>VLOOKUP(1560,季財報!A:H,3)</f>
        <v>0</v>
      </c>
      <c r="D186" s="18">
        <f>VLOOKUP(1560,季財報!A:H,4)</f>
        <v>1</v>
      </c>
      <c r="E186" s="18">
        <f>VLOOKUP(1560,季財報!A:H,5)</f>
        <v>2</v>
      </c>
      <c r="F186" s="18">
        <f>VLOOKUP(1560,季財報!A:H,6)</f>
        <v>1</v>
      </c>
      <c r="G186" s="18">
        <f>VLOOKUP(1560,季財報!A:H,7)</f>
        <v>0</v>
      </c>
      <c r="N186" s="20">
        <f t="shared" si="2"/>
        <v>4</v>
      </c>
    </row>
    <row r="187" spans="1:19">
      <c r="A187" s="307" t="str">
        <f>HYPERLINK("http://www.wantgoo.com/stock/chart.aspx?stockno=2484","2484")</f>
        <v>2484</v>
      </c>
      <c r="C187" s="18">
        <f>VLOOKUP(2484,季財報!A:H,3)</f>
        <v>1</v>
      </c>
      <c r="D187" s="18">
        <f>VLOOKUP(2484,季財報!A:H,4)</f>
        <v>1</v>
      </c>
      <c r="E187" s="18">
        <f>VLOOKUP(2484,季財報!A:H,5)</f>
        <v>1</v>
      </c>
      <c r="F187" s="18">
        <f>VLOOKUP(2484,季財報!A:H,6)</f>
        <v>1</v>
      </c>
      <c r="G187" s="18">
        <f>VLOOKUP(2484,季財報!A:H,7)</f>
        <v>0</v>
      </c>
      <c r="N187" s="20">
        <f t="shared" si="2"/>
        <v>4</v>
      </c>
    </row>
    <row r="188" spans="1:19">
      <c r="A188" s="308" t="str">
        <f>HYPERLINK("http://www.wantgoo.com/stock/chart.aspx?stockno=3553","3553")</f>
        <v>3553</v>
      </c>
      <c r="C188" s="18">
        <f>VLOOKUP(3553,季財報!A:H,3)</f>
        <v>0</v>
      </c>
      <c r="D188" s="18">
        <f>VLOOKUP(3553,季財報!A:H,4)</f>
        <v>0</v>
      </c>
      <c r="E188" s="18">
        <f>VLOOKUP(3553,季財報!A:H,5)</f>
        <v>0</v>
      </c>
      <c r="F188" s="18">
        <f>VLOOKUP(3553,季財報!A:H,6)</f>
        <v>0</v>
      </c>
      <c r="G188" s="18">
        <f>VLOOKUP(3553,季財報!A:H,7)</f>
        <v>0</v>
      </c>
      <c r="N188" s="20">
        <f t="shared" si="2"/>
        <v>0</v>
      </c>
    </row>
    <row r="189" spans="1:19">
      <c r="A189" s="307" t="str">
        <f>HYPERLINK("http://www.wantgoo.com/stock/chart.aspx?stockno=6128","6128")</f>
        <v>6128</v>
      </c>
      <c r="C189" s="18">
        <f>VLOOKUP(6128,季財報!A:H,3)</f>
        <v>1</v>
      </c>
      <c r="D189" s="18">
        <f>VLOOKUP(6128,季財報!A:H,4)</f>
        <v>1</v>
      </c>
      <c r="E189" s="18">
        <f>VLOOKUP(6128,季財報!A:H,5)</f>
        <v>0</v>
      </c>
      <c r="F189" s="18">
        <f>VLOOKUP(6128,季財報!A:H,6)</f>
        <v>1</v>
      </c>
      <c r="G189" s="18">
        <f>VLOOKUP(6128,季財報!A:H,7)</f>
        <v>0</v>
      </c>
      <c r="N189" s="20">
        <f t="shared" si="2"/>
        <v>3</v>
      </c>
    </row>
    <row r="190" spans="1:19">
      <c r="A190" s="307" t="str">
        <f>HYPERLINK("http://www.wantgoo.com/stock/chart.aspx?stockno=6186","6186")</f>
        <v>6186</v>
      </c>
      <c r="C190" s="18">
        <f>VLOOKUP(6186,季財報!A:H,3)</f>
        <v>0</v>
      </c>
      <c r="D190" s="18">
        <f>VLOOKUP(6186,季財報!A:H,4)</f>
        <v>1</v>
      </c>
      <c r="E190" s="18">
        <f>VLOOKUP(6186,季財報!A:H,5)</f>
        <v>1</v>
      </c>
      <c r="F190" s="18">
        <f>VLOOKUP(6186,季財報!A:H,6)</f>
        <v>1</v>
      </c>
      <c r="G190" s="18">
        <f>VLOOKUP(6186,季財報!A:H,7)</f>
        <v>0</v>
      </c>
      <c r="N190" s="20">
        <f t="shared" si="2"/>
        <v>3</v>
      </c>
    </row>
    <row r="191" spans="1:19">
      <c r="A191" s="307" t="str">
        <f>HYPERLINK("http://www.wantgoo.com/stock/chart.aspx?stockno=8249","8249")</f>
        <v>8249</v>
      </c>
      <c r="C191" s="18">
        <f>VLOOKUP(8249,季財報!A:H,3)</f>
        <v>1</v>
      </c>
      <c r="D191" s="18">
        <f>VLOOKUP(8249,季財報!A:H,4)</f>
        <v>1</v>
      </c>
      <c r="E191" s="18">
        <f>VLOOKUP(8249,季財報!A:H,5)</f>
        <v>1</v>
      </c>
      <c r="F191" s="18">
        <f>VLOOKUP(8249,季財報!A:H,6)</f>
        <v>1</v>
      </c>
      <c r="G191" s="18">
        <f>VLOOKUP(8249,季財報!A:H,7)</f>
        <v>0</v>
      </c>
      <c r="N191" s="20">
        <f t="shared" si="2"/>
        <v>4</v>
      </c>
    </row>
    <row r="192" spans="1:19">
      <c r="A192" s="308" t="str">
        <f>HYPERLINK("http://www.wantgoo.com/stock/chart.aspx?stockno=4420","4420")</f>
        <v>4420</v>
      </c>
      <c r="C192" s="18">
        <f>VLOOKUP(4420,季財報!A:H,3)</f>
        <v>0</v>
      </c>
      <c r="D192" s="18">
        <f>VLOOKUP(4420,季財報!A:H,4)</f>
        <v>0</v>
      </c>
      <c r="E192" s="18">
        <f>VLOOKUP(4420,季財報!A:H,5)</f>
        <v>0</v>
      </c>
      <c r="F192" s="18">
        <f>VLOOKUP(4420,季財報!A:H,6)</f>
        <v>0</v>
      </c>
      <c r="G192" s="18">
        <f>VLOOKUP(4420,季財報!A:H,7)</f>
        <v>1</v>
      </c>
      <c r="N192" s="20">
        <f t="shared" si="2"/>
        <v>1</v>
      </c>
    </row>
    <row r="193" spans="1:19">
      <c r="A193" s="307" t="str">
        <f>HYPERLINK("http://www.wantgoo.com/stock/chart.aspx?stockno=3032","3032")</f>
        <v>3032</v>
      </c>
      <c r="C193" s="18">
        <f>VLOOKUP(3032,季財報!A:H,3)</f>
        <v>1</v>
      </c>
      <c r="D193" s="18">
        <f>VLOOKUP(3032,季財報!A:H,4)</f>
        <v>1</v>
      </c>
      <c r="E193" s="18">
        <f>VLOOKUP(3032,季財報!A:H,5)</f>
        <v>1</v>
      </c>
      <c r="F193" s="18">
        <f>VLOOKUP(3032,季財報!A:H,6)</f>
        <v>1</v>
      </c>
      <c r="G193" s="18">
        <f>VLOOKUP(3032,季財報!A:H,7)</f>
        <v>0</v>
      </c>
      <c r="N193" s="20">
        <f t="shared" si="2"/>
        <v>4</v>
      </c>
    </row>
    <row r="194" spans="1:19">
      <c r="A194" s="307" t="str">
        <f>HYPERLINK("http://www.wantgoo.com/stock/chart.aspx?stockno=8210","8210")</f>
        <v>8210</v>
      </c>
      <c r="C194" s="18">
        <f>VLOOKUP(8210,季財報!A:H,3)</f>
        <v>1</v>
      </c>
      <c r="D194" s="18">
        <f>VLOOKUP(8210,季財報!A:H,4)</f>
        <v>1</v>
      </c>
      <c r="E194" s="18">
        <f>VLOOKUP(8210,季財報!A:H,5)</f>
        <v>1</v>
      </c>
      <c r="F194" s="18">
        <f>VLOOKUP(8210,季財報!A:H,6)</f>
        <v>1</v>
      </c>
      <c r="G194" s="18">
        <f>VLOOKUP(8210,季財報!A:H,7)</f>
        <v>0</v>
      </c>
      <c r="N194" s="20">
        <f t="shared" si="2"/>
        <v>4</v>
      </c>
    </row>
    <row r="195" spans="1:19">
      <c r="A195" s="307" t="str">
        <f>HYPERLINK("http://www.wantgoo.com/stock/chart.aspx?stockno=3454","3454")</f>
        <v>3454</v>
      </c>
      <c r="C195" s="18">
        <f>VLOOKUP(3454,季財報!A:H,3)</f>
        <v>0</v>
      </c>
      <c r="D195" s="18">
        <f>VLOOKUP(3454,季財報!A:H,4)</f>
        <v>1</v>
      </c>
      <c r="E195" s="18">
        <f>VLOOKUP(3454,季財報!A:H,5)</f>
        <v>0</v>
      </c>
      <c r="F195" s="18">
        <f>VLOOKUP(3454,季財報!A:H,6)</f>
        <v>1</v>
      </c>
      <c r="G195" s="18">
        <f>VLOOKUP(3454,季財報!A:H,7)</f>
        <v>0</v>
      </c>
      <c r="N195" s="20">
        <f t="shared" si="2"/>
        <v>2</v>
      </c>
    </row>
    <row r="196" spans="1:19">
      <c r="A196" s="307" t="str">
        <f>HYPERLINK("http://www.wantgoo.com/stock/chart.aspx?stockno=5706","5706")</f>
        <v>5706</v>
      </c>
      <c r="C196" s="18">
        <f>VLOOKUP(5706,季財報!A:H,3)</f>
        <v>1</v>
      </c>
      <c r="D196" s="18">
        <f>VLOOKUP(5706,季財報!A:H,4)</f>
        <v>1</v>
      </c>
      <c r="E196" s="18">
        <f>VLOOKUP(5706,季財報!A:H,5)</f>
        <v>2</v>
      </c>
      <c r="F196" s="18">
        <f>VLOOKUP(5706,季財報!A:H,6)</f>
        <v>0</v>
      </c>
      <c r="G196" s="18">
        <f>VLOOKUP(5706,季財報!A:H,7)</f>
        <v>0</v>
      </c>
      <c r="N196" s="20">
        <f t="shared" ref="N196:N259" si="3">SUM(C196:M196)</f>
        <v>4</v>
      </c>
    </row>
    <row r="197" spans="1:19">
      <c r="A197" s="307" t="str">
        <f>HYPERLINK("http://www.wantgoo.com/stock/chart.aspx?stockno=5490","5490")</f>
        <v>5490</v>
      </c>
      <c r="C197" s="18">
        <f>VLOOKUP(5490,季財報!A:H,3)</f>
        <v>0</v>
      </c>
      <c r="D197" s="18">
        <f>VLOOKUP(5490,季財報!A:H,4)</f>
        <v>1</v>
      </c>
      <c r="E197" s="18">
        <f>VLOOKUP(5490,季財報!A:H,5)</f>
        <v>0</v>
      </c>
      <c r="F197" s="18">
        <f>VLOOKUP(5490,季財報!A:H,6)</f>
        <v>1</v>
      </c>
      <c r="G197" s="18">
        <f>VLOOKUP(5490,季財報!A:H,7)</f>
        <v>1</v>
      </c>
      <c r="N197" s="20">
        <f t="shared" si="3"/>
        <v>3</v>
      </c>
    </row>
    <row r="198" spans="1:19">
      <c r="A198" s="308" t="str">
        <f>HYPERLINK("http://www.wantgoo.com/stock/chart.aspx?stockno=2344","2344")</f>
        <v>2344</v>
      </c>
      <c r="C198" s="18">
        <f>VLOOKUP(2344,季財報!A:H,3)</f>
        <v>0</v>
      </c>
      <c r="D198" s="18">
        <f>VLOOKUP(2344,季財報!A:H,4)</f>
        <v>0</v>
      </c>
      <c r="E198" s="18">
        <f>VLOOKUP(2344,季財報!A:H,5)</f>
        <v>0</v>
      </c>
      <c r="F198" s="18">
        <f>VLOOKUP(2344,季財報!A:H,6)</f>
        <v>1</v>
      </c>
      <c r="G198" s="18">
        <f>VLOOKUP(2344,季財報!A:H,7)</f>
        <v>0</v>
      </c>
      <c r="N198" s="20">
        <f t="shared" si="3"/>
        <v>1</v>
      </c>
    </row>
    <row r="199" spans="1:19">
      <c r="A199" s="308" t="str">
        <f>HYPERLINK("http://www.wantgoo.com/stock/chart.aspx?stockno=5425","5425")</f>
        <v>5425</v>
      </c>
      <c r="C199" s="18">
        <f>VLOOKUP(5425,季財報!A:H,3)</f>
        <v>1</v>
      </c>
      <c r="D199" s="18">
        <f>VLOOKUP(5425,季財報!A:H,4)</f>
        <v>1</v>
      </c>
      <c r="E199" s="18">
        <f>VLOOKUP(5425,季財報!A:H,5)</f>
        <v>0</v>
      </c>
      <c r="F199" s="18">
        <f>VLOOKUP(5425,季財報!A:H,6)</f>
        <v>1</v>
      </c>
      <c r="G199" s="18">
        <f>VLOOKUP(5425,季財報!A:H,7)</f>
        <v>0</v>
      </c>
      <c r="N199" s="20">
        <f t="shared" si="3"/>
        <v>3</v>
      </c>
    </row>
    <row r="200" spans="1:19">
      <c r="A200" s="308" t="str">
        <f>HYPERLINK("http://www.wantgoo.com/stock/chart.aspx?stockno=8059","8059")</f>
        <v>8059</v>
      </c>
      <c r="C200" s="18">
        <f>VLOOKUP(8059,季財報!A:H,3)</f>
        <v>0</v>
      </c>
      <c r="D200" s="18">
        <f>VLOOKUP(8059,季財報!A:H,4)</f>
        <v>1</v>
      </c>
      <c r="E200" s="18">
        <f>VLOOKUP(8059,季財報!A:H,5)</f>
        <v>0</v>
      </c>
      <c r="F200" s="18">
        <f>VLOOKUP(8059,季財報!A:H,6)</f>
        <v>0</v>
      </c>
      <c r="G200" s="18">
        <f>VLOOKUP(8059,季財報!A:H,7)</f>
        <v>0</v>
      </c>
      <c r="N200" s="20">
        <f t="shared" si="3"/>
        <v>1</v>
      </c>
    </row>
    <row r="201" spans="1:19">
      <c r="A201" s="308" t="str">
        <f>HYPERLINK("http://www.wantgoo.com/stock/chart.aspx?stockno=9946","9946")</f>
        <v>9946</v>
      </c>
      <c r="C201" s="18">
        <f>VLOOKUP(9946,季財報!A:H,3)</f>
        <v>1</v>
      </c>
      <c r="D201" s="18">
        <f>VLOOKUP(9946,季財報!A:H,4)</f>
        <v>1</v>
      </c>
      <c r="E201" s="18">
        <f>VLOOKUP(9946,季財報!A:H,5)</f>
        <v>2</v>
      </c>
      <c r="F201" s="18">
        <f>VLOOKUP(9946,季財報!A:H,6)</f>
        <v>1</v>
      </c>
      <c r="G201" s="18">
        <f>VLOOKUP(9946,季財報!A:H,7)</f>
        <v>0</v>
      </c>
      <c r="N201" s="20">
        <f t="shared" si="3"/>
        <v>5</v>
      </c>
    </row>
    <row r="202" spans="1:19">
      <c r="A202" s="307" t="str">
        <f>HYPERLINK("http://www.wantgoo.com/stock/chart.aspx?stockno=5439","5439")</f>
        <v>5439</v>
      </c>
      <c r="C202" s="18">
        <f>VLOOKUP(5439,季財報!A:H,3)</f>
        <v>1</v>
      </c>
      <c r="D202" s="18">
        <f>VLOOKUP(5439,季財報!A:H,4)</f>
        <v>1</v>
      </c>
      <c r="E202" s="18">
        <f>VLOOKUP(5439,季財報!A:H,5)</f>
        <v>0</v>
      </c>
      <c r="F202" s="18">
        <f>VLOOKUP(5439,季財報!A:H,6)</f>
        <v>1</v>
      </c>
      <c r="G202" s="18">
        <f>VLOOKUP(5439,季財報!A:H,7)</f>
        <v>0</v>
      </c>
      <c r="N202" s="20">
        <f t="shared" si="3"/>
        <v>3</v>
      </c>
    </row>
    <row r="203" spans="1:19">
      <c r="A203" s="308" t="str">
        <f>HYPERLINK("http://www.wantgoo.com/stock/chart.aspx?stockno=6217","6217")</f>
        <v>6217</v>
      </c>
      <c r="C203" s="18">
        <f>VLOOKUP(6217,季財報!A:H,3)</f>
        <v>1</v>
      </c>
      <c r="D203" s="18">
        <f>VLOOKUP(6217,季財報!A:H,4)</f>
        <v>1</v>
      </c>
      <c r="E203" s="18">
        <f>VLOOKUP(6217,季財報!A:H,5)</f>
        <v>1</v>
      </c>
      <c r="F203" s="18">
        <f>VLOOKUP(6217,季財報!A:H,6)</f>
        <v>1</v>
      </c>
      <c r="G203" s="18">
        <f>VLOOKUP(6217,季財報!A:H,7)</f>
        <v>1</v>
      </c>
      <c r="N203" s="20">
        <f t="shared" si="3"/>
        <v>5</v>
      </c>
    </row>
    <row r="204" spans="1:19" s="317" customFormat="1">
      <c r="A204" s="309" t="str">
        <f>HYPERLINK("http://www.wantgoo.com/stock/chart.aspx?stockno=8049","8049")</f>
        <v>8049</v>
      </c>
      <c r="B204" s="310"/>
      <c r="C204" s="311">
        <f>VLOOKUP(8049,季財報!A:H,3)</f>
        <v>1</v>
      </c>
      <c r="D204" s="311">
        <f>VLOOKUP(8049,季財報!A:H,4)</f>
        <v>1</v>
      </c>
      <c r="E204" s="311">
        <f>VLOOKUP(8049,季財報!A:H,5)</f>
        <v>2</v>
      </c>
      <c r="F204" s="311">
        <f>VLOOKUP(8049,季財報!A:H,6)</f>
        <v>1</v>
      </c>
      <c r="G204" s="311">
        <f>VLOOKUP(8049,季財報!A:H,7)</f>
        <v>0</v>
      </c>
      <c r="H204" s="312"/>
      <c r="I204" s="312"/>
      <c r="J204" s="312"/>
      <c r="K204" s="312"/>
      <c r="L204" s="312"/>
      <c r="M204" s="313"/>
      <c r="N204" s="312">
        <f t="shared" si="3"/>
        <v>5</v>
      </c>
      <c r="O204" s="314"/>
      <c r="P204" s="314"/>
      <c r="Q204" s="314"/>
      <c r="R204" s="314"/>
      <c r="S204" s="315"/>
    </row>
    <row r="205" spans="1:19" s="317" customFormat="1">
      <c r="A205" s="309" t="str">
        <f>HYPERLINK("http://www.wantgoo.com/stock/chart.aspx?stockno=1537","1537")</f>
        <v>1537</v>
      </c>
      <c r="B205" s="310"/>
      <c r="C205" s="311">
        <f>VLOOKUP(1537,季財報!A:H,3)</f>
        <v>1</v>
      </c>
      <c r="D205" s="311">
        <f>VLOOKUP(1537,季財報!A:H,4)</f>
        <v>1</v>
      </c>
      <c r="E205" s="311">
        <f>VLOOKUP(1537,季財報!A:H,5)</f>
        <v>0</v>
      </c>
      <c r="F205" s="311">
        <f>VLOOKUP(1537,季財報!A:H,6)</f>
        <v>1</v>
      </c>
      <c r="G205" s="311">
        <f>VLOOKUP(1537,季財報!A:H,7)</f>
        <v>1</v>
      </c>
      <c r="H205" s="312"/>
      <c r="I205" s="312"/>
      <c r="J205" s="312"/>
      <c r="K205" s="312"/>
      <c r="L205" s="312"/>
      <c r="M205" s="313"/>
      <c r="N205" s="312">
        <f t="shared" si="3"/>
        <v>4</v>
      </c>
      <c r="O205" s="314"/>
      <c r="P205" s="314"/>
      <c r="Q205" s="314"/>
      <c r="R205" s="314"/>
      <c r="S205" s="315"/>
    </row>
    <row r="206" spans="1:19">
      <c r="A206" s="307" t="str">
        <f>HYPERLINK("http://www.wantgoo.com/stock/chart.aspx?stockno=4909","4909")</f>
        <v>4909</v>
      </c>
      <c r="C206" s="18">
        <f>VLOOKUP(4909,季財報!A:H,3)</f>
        <v>1</v>
      </c>
      <c r="D206" s="18">
        <f>VLOOKUP(4909,季財報!A:H,4)</f>
        <v>1</v>
      </c>
      <c r="E206" s="18">
        <f>VLOOKUP(4909,季財報!A:H,5)</f>
        <v>0</v>
      </c>
      <c r="F206" s="18">
        <f>VLOOKUP(4909,季財報!A:H,6)</f>
        <v>1</v>
      </c>
      <c r="G206" s="18">
        <f>VLOOKUP(4909,季財報!A:H,7)</f>
        <v>0</v>
      </c>
      <c r="N206" s="20">
        <f t="shared" si="3"/>
        <v>3</v>
      </c>
    </row>
    <row r="207" spans="1:19">
      <c r="A207" s="308" t="str">
        <f>HYPERLINK("http://www.wantgoo.com/stock/chart.aspx?stockno=5878","5878")</f>
        <v>5878</v>
      </c>
      <c r="C207" s="18">
        <f>VLOOKUP(5878,季財報!A:H,3)</f>
        <v>0</v>
      </c>
      <c r="D207" s="18">
        <f>VLOOKUP(5878,季財報!A:H,4)</f>
        <v>1</v>
      </c>
      <c r="E207" s="18">
        <f>VLOOKUP(5878,季財報!A:H,5)</f>
        <v>0</v>
      </c>
      <c r="F207" s="18">
        <f>VLOOKUP(5878,季財報!A:H,6)</f>
        <v>0</v>
      </c>
      <c r="G207" s="18">
        <f>VLOOKUP(5878,季財報!A:H,7)</f>
        <v>0</v>
      </c>
      <c r="N207" s="20">
        <f t="shared" si="3"/>
        <v>1</v>
      </c>
    </row>
    <row r="208" spans="1:19">
      <c r="A208" s="307" t="str">
        <f>HYPERLINK("http://www.wantgoo.com/stock/chart.aspx?stockno=1108","1108")</f>
        <v>1108</v>
      </c>
      <c r="C208" s="18">
        <f>VLOOKUP(1108,季財報!A:H,3)</f>
        <v>0</v>
      </c>
      <c r="D208" s="18">
        <f>VLOOKUP(1108,季財報!A:H,4)</f>
        <v>1</v>
      </c>
      <c r="E208" s="18">
        <f>VLOOKUP(1108,季財報!A:H,5)</f>
        <v>0</v>
      </c>
      <c r="F208" s="18">
        <f>VLOOKUP(1108,季財報!A:H,6)</f>
        <v>1</v>
      </c>
      <c r="G208" s="18">
        <f>VLOOKUP(1108,季財報!A:H,7)</f>
        <v>0</v>
      </c>
      <c r="N208" s="20">
        <f t="shared" si="3"/>
        <v>2</v>
      </c>
    </row>
    <row r="209" spans="1:19">
      <c r="A209" s="307" t="str">
        <f>HYPERLINK("http://www.wantgoo.com/stock/chart.aspx?stockno=2472","2472")</f>
        <v>2472</v>
      </c>
      <c r="C209" s="18">
        <f>VLOOKUP(2472,季財報!A:H,3)</f>
        <v>1</v>
      </c>
      <c r="D209" s="18">
        <f>VLOOKUP(2472,季財報!A:H,4)</f>
        <v>1</v>
      </c>
      <c r="E209" s="18">
        <f>VLOOKUP(2472,季財報!A:H,5)</f>
        <v>0</v>
      </c>
      <c r="F209" s="18">
        <f>VLOOKUP(2472,季財報!A:H,6)</f>
        <v>1</v>
      </c>
      <c r="G209" s="18">
        <f>VLOOKUP(2472,季財報!A:H,7)</f>
        <v>0</v>
      </c>
      <c r="N209" s="20">
        <f t="shared" si="3"/>
        <v>3</v>
      </c>
    </row>
    <row r="210" spans="1:19">
      <c r="A210" s="307" t="str">
        <f>HYPERLINK("http://www.wantgoo.com/stock/chart.aspx?stockno=3022","3022")</f>
        <v>3022</v>
      </c>
      <c r="C210" s="18">
        <f>VLOOKUP(3022,季財報!A:H,3)</f>
        <v>0</v>
      </c>
      <c r="D210" s="18">
        <f>VLOOKUP(3022,季財報!A:H,4)</f>
        <v>1</v>
      </c>
      <c r="E210" s="18">
        <f>VLOOKUP(3022,季財報!A:H,5)</f>
        <v>0</v>
      </c>
      <c r="F210" s="18">
        <f>VLOOKUP(3022,季財報!A:H,6)</f>
        <v>1</v>
      </c>
      <c r="G210" s="18">
        <f>VLOOKUP(3022,季財報!A:H,7)</f>
        <v>0</v>
      </c>
      <c r="N210" s="20">
        <f t="shared" si="3"/>
        <v>2</v>
      </c>
    </row>
    <row r="211" spans="1:19">
      <c r="A211" s="307" t="str">
        <f>HYPERLINK("http://www.wantgoo.com/stock/chart.aspx?stockno=3284","3284")</f>
        <v>3284</v>
      </c>
      <c r="C211" s="18">
        <f>VLOOKUP(3284,季財報!A:H,3)</f>
        <v>1</v>
      </c>
      <c r="D211" s="18">
        <f>VLOOKUP(3284,季財報!A:H,4)</f>
        <v>1</v>
      </c>
      <c r="E211" s="18">
        <f>VLOOKUP(3284,季財報!A:H,5)</f>
        <v>2</v>
      </c>
      <c r="F211" s="18">
        <f>VLOOKUP(3284,季財報!A:H,6)</f>
        <v>0</v>
      </c>
      <c r="G211" s="18">
        <f>VLOOKUP(3284,季財報!A:H,7)</f>
        <v>0</v>
      </c>
      <c r="N211" s="20">
        <f t="shared" si="3"/>
        <v>4</v>
      </c>
    </row>
    <row r="212" spans="1:19">
      <c r="A212" s="308" t="str">
        <f>HYPERLINK("http://www.wantgoo.com/stock/chart.aspx?stockno=8032","8032")</f>
        <v>8032</v>
      </c>
      <c r="C212" s="18">
        <f>VLOOKUP(8032,季財報!A:H,3)</f>
        <v>1</v>
      </c>
      <c r="D212" s="18">
        <f>VLOOKUP(8032,季財報!A:H,4)</f>
        <v>1</v>
      </c>
      <c r="E212" s="18">
        <f>VLOOKUP(8032,季財報!A:H,5)</f>
        <v>1</v>
      </c>
      <c r="F212" s="18">
        <f>VLOOKUP(8032,季財報!A:H,6)</f>
        <v>0</v>
      </c>
      <c r="G212" s="18">
        <f>VLOOKUP(8032,季財報!A:H,7)</f>
        <v>0</v>
      </c>
      <c r="N212" s="20">
        <f t="shared" si="3"/>
        <v>3</v>
      </c>
    </row>
    <row r="213" spans="1:19">
      <c r="A213" s="307" t="str">
        <f>HYPERLINK("http://www.wantgoo.com/stock/chart.aspx?stockno=5285","5285")</f>
        <v>5285</v>
      </c>
      <c r="C213" s="18">
        <f>VLOOKUP(5285,季財報!A:H,3)</f>
        <v>1</v>
      </c>
      <c r="D213" s="18">
        <f>VLOOKUP(5285,季財報!A:H,4)</f>
        <v>1</v>
      </c>
      <c r="E213" s="18">
        <f>VLOOKUP(5285,季財報!A:H,5)</f>
        <v>1</v>
      </c>
      <c r="F213" s="18">
        <f>VLOOKUP(5285,季財報!A:H,6)</f>
        <v>1</v>
      </c>
      <c r="G213" s="18">
        <f>VLOOKUP(5285,季財報!A:H,7)</f>
        <v>0</v>
      </c>
      <c r="N213" s="20">
        <f t="shared" si="3"/>
        <v>4</v>
      </c>
    </row>
    <row r="214" spans="1:19" s="317" customFormat="1">
      <c r="A214" s="309" t="str">
        <f>HYPERLINK("http://www.wantgoo.com/stock/chart.aspx?stockno=3558","3558")</f>
        <v>3558</v>
      </c>
      <c r="B214" s="310"/>
      <c r="C214" s="311">
        <f>VLOOKUP(3558,季財報!A:H,3)</f>
        <v>1</v>
      </c>
      <c r="D214" s="311">
        <f>VLOOKUP(3558,季財報!A:H,4)</f>
        <v>1</v>
      </c>
      <c r="E214" s="311">
        <f>VLOOKUP(3558,季財報!A:H,5)</f>
        <v>2</v>
      </c>
      <c r="F214" s="311">
        <f>VLOOKUP(3558,季財報!A:H,6)</f>
        <v>1</v>
      </c>
      <c r="G214" s="311">
        <f>VLOOKUP(3558,季財報!A:H,7)</f>
        <v>1</v>
      </c>
      <c r="H214" s="312"/>
      <c r="I214" s="312"/>
      <c r="J214" s="312"/>
      <c r="K214" s="312"/>
      <c r="L214" s="312"/>
      <c r="M214" s="313"/>
      <c r="N214" s="312">
        <f t="shared" si="3"/>
        <v>6</v>
      </c>
      <c r="O214" s="314"/>
      <c r="P214" s="314"/>
      <c r="Q214" s="314"/>
      <c r="R214" s="314"/>
      <c r="S214" s="315"/>
    </row>
    <row r="215" spans="1:19">
      <c r="A215" s="307" t="str">
        <f>HYPERLINK("http://www.wantgoo.com/stock/chart.aspx?stockno=6245","6245")</f>
        <v>6245</v>
      </c>
      <c r="C215" s="18">
        <f>VLOOKUP(6245,季財報!A:H,3)</f>
        <v>0</v>
      </c>
      <c r="D215" s="18">
        <f>VLOOKUP(6245,季財報!A:H,4)</f>
        <v>1</v>
      </c>
      <c r="E215" s="18">
        <f>VLOOKUP(6245,季財報!A:H,5)</f>
        <v>0</v>
      </c>
      <c r="F215" s="18">
        <f>VLOOKUP(6245,季財報!A:H,6)</f>
        <v>1</v>
      </c>
      <c r="G215" s="18">
        <f>VLOOKUP(6245,季財報!A:H,7)</f>
        <v>0</v>
      </c>
      <c r="N215" s="20">
        <f t="shared" si="3"/>
        <v>2</v>
      </c>
    </row>
    <row r="216" spans="1:19">
      <c r="A216" s="307" t="str">
        <f>HYPERLINK("http://www.wantgoo.com/stock/chart.aspx?stockno=2425","2425")</f>
        <v>2425</v>
      </c>
      <c r="C216" s="18">
        <f>VLOOKUP(2425,季財報!A:H,3)</f>
        <v>0</v>
      </c>
      <c r="D216" s="18">
        <f>VLOOKUP(2425,季財報!A:H,4)</f>
        <v>1</v>
      </c>
      <c r="E216" s="18">
        <f>VLOOKUP(2425,季財報!A:H,5)</f>
        <v>0</v>
      </c>
      <c r="F216" s="18">
        <f>VLOOKUP(2425,季財報!A:H,6)</f>
        <v>1</v>
      </c>
      <c r="G216" s="18">
        <f>VLOOKUP(2425,季財報!A:H,7)</f>
        <v>0</v>
      </c>
      <c r="N216" s="20">
        <f t="shared" si="3"/>
        <v>2</v>
      </c>
    </row>
    <row r="217" spans="1:19">
      <c r="A217" s="308" t="str">
        <f>HYPERLINK("http://www.wantgoo.com/stock/chart.aspx?stockno=2483","2483")</f>
        <v>2483</v>
      </c>
      <c r="C217" s="18">
        <f>VLOOKUP(2483,季財報!A:H,3)</f>
        <v>0</v>
      </c>
      <c r="D217" s="18">
        <f>VLOOKUP(2483,季財報!A:H,4)</f>
        <v>1</v>
      </c>
      <c r="E217" s="18">
        <f>VLOOKUP(2483,季財報!A:H,5)</f>
        <v>1</v>
      </c>
      <c r="F217" s="18">
        <f>VLOOKUP(2483,季財報!A:H,6)</f>
        <v>0</v>
      </c>
      <c r="G217" s="18">
        <f>VLOOKUP(2483,季財報!A:H,7)</f>
        <v>0</v>
      </c>
      <c r="N217" s="20">
        <f t="shared" si="3"/>
        <v>2</v>
      </c>
    </row>
    <row r="218" spans="1:19">
      <c r="A218" s="307" t="str">
        <f>HYPERLINK("http://www.wantgoo.com/stock/chart.aspx?stockno=5410","5410")</f>
        <v>5410</v>
      </c>
      <c r="C218" s="18">
        <f>VLOOKUP(5410,季財報!A:H,3)</f>
        <v>0</v>
      </c>
      <c r="D218" s="18">
        <f>VLOOKUP(5410,季財報!A:H,4)</f>
        <v>1</v>
      </c>
      <c r="E218" s="18">
        <f>VLOOKUP(5410,季財報!A:H,5)</f>
        <v>0</v>
      </c>
      <c r="F218" s="18">
        <f>VLOOKUP(5410,季財報!A:H,6)</f>
        <v>0</v>
      </c>
      <c r="G218" s="18">
        <f>VLOOKUP(5410,季財報!A:H,7)</f>
        <v>0</v>
      </c>
      <c r="N218" s="20">
        <f t="shared" si="3"/>
        <v>1</v>
      </c>
    </row>
    <row r="219" spans="1:19">
      <c r="A219" s="307" t="str">
        <f>HYPERLINK("http://www.wantgoo.com/stock/chart.aspx?stockno=8074","8074")</f>
        <v>8074</v>
      </c>
      <c r="C219" s="18">
        <f>VLOOKUP(8074,季財報!A:H,3)</f>
        <v>1</v>
      </c>
      <c r="D219" s="18">
        <f>VLOOKUP(8074,季財報!A:H,4)</f>
        <v>1</v>
      </c>
      <c r="E219" s="18">
        <f>VLOOKUP(8074,季財報!A:H,5)</f>
        <v>1</v>
      </c>
      <c r="F219" s="18">
        <f>VLOOKUP(8074,季財報!A:H,6)</f>
        <v>1</v>
      </c>
      <c r="G219" s="18">
        <f>VLOOKUP(8074,季財報!A:H,7)</f>
        <v>0</v>
      </c>
      <c r="N219" s="20">
        <f t="shared" si="3"/>
        <v>4</v>
      </c>
    </row>
    <row r="220" spans="1:19">
      <c r="A220" s="308" t="str">
        <f>HYPERLINK("http://www.wantgoo.com/stock/chart.aspx?stockno=5438","5438")</f>
        <v>5438</v>
      </c>
      <c r="C220" s="18">
        <f>VLOOKUP(5438,季財報!A:H,3)</f>
        <v>1</v>
      </c>
      <c r="D220" s="18">
        <f>VLOOKUP(5438,季財報!A:H,4)</f>
        <v>1</v>
      </c>
      <c r="E220" s="18">
        <f>VLOOKUP(5438,季財報!A:H,5)</f>
        <v>1</v>
      </c>
      <c r="F220" s="18">
        <f>VLOOKUP(5438,季財報!A:H,6)</f>
        <v>1</v>
      </c>
      <c r="G220" s="18">
        <f>VLOOKUP(5438,季財報!A:H,7)</f>
        <v>0</v>
      </c>
      <c r="N220" s="20">
        <f t="shared" si="3"/>
        <v>4</v>
      </c>
    </row>
    <row r="221" spans="1:19">
      <c r="A221" s="308" t="str">
        <f>HYPERLINK("http://www.wantgoo.com/stock/chart.aspx?stockno=1726","1726")</f>
        <v>1726</v>
      </c>
      <c r="C221" s="18">
        <f>VLOOKUP(1726,季財報!A:H,3)</f>
        <v>1</v>
      </c>
      <c r="D221" s="18">
        <f>VLOOKUP(1726,季財報!A:H,4)</f>
        <v>1</v>
      </c>
      <c r="E221" s="18">
        <f>VLOOKUP(1726,季財報!A:H,5)</f>
        <v>0</v>
      </c>
      <c r="F221" s="18">
        <f>VLOOKUP(1726,季財報!A:H,6)</f>
        <v>1</v>
      </c>
      <c r="G221" s="18">
        <f>VLOOKUP(1726,季財報!A:H,7)</f>
        <v>0</v>
      </c>
      <c r="N221" s="20">
        <f t="shared" si="3"/>
        <v>3</v>
      </c>
    </row>
    <row r="222" spans="1:19">
      <c r="A222" s="307" t="str">
        <f>HYPERLINK("http://www.wantgoo.com/stock/chart.aspx?stockno=2015","2015")</f>
        <v>2015</v>
      </c>
      <c r="C222" s="18">
        <f>VLOOKUP(2015,季財報!A:H,3)</f>
        <v>0</v>
      </c>
      <c r="D222" s="18">
        <f>VLOOKUP(2015,季財報!A:H,4)</f>
        <v>1</v>
      </c>
      <c r="E222" s="18">
        <f>VLOOKUP(2015,季財報!A:H,5)</f>
        <v>1</v>
      </c>
      <c r="F222" s="18">
        <f>VLOOKUP(2015,季財報!A:H,6)</f>
        <v>1</v>
      </c>
      <c r="G222" s="18">
        <f>VLOOKUP(2015,季財報!A:H,7)</f>
        <v>0</v>
      </c>
      <c r="N222" s="20">
        <f t="shared" si="3"/>
        <v>3</v>
      </c>
    </row>
    <row r="223" spans="1:19">
      <c r="A223" s="308" t="str">
        <f>HYPERLINK("http://www.wantgoo.com/stock/chart.aspx?stockno=3556","3556")</f>
        <v>3556</v>
      </c>
      <c r="C223" s="18">
        <f>VLOOKUP(3556,季財報!A:H,3)</f>
        <v>0</v>
      </c>
      <c r="D223" s="18">
        <f>VLOOKUP(3556,季財報!A:H,4)</f>
        <v>0</v>
      </c>
      <c r="E223" s="18">
        <f>VLOOKUP(3556,季財報!A:H,5)</f>
        <v>0</v>
      </c>
      <c r="F223" s="18">
        <f>VLOOKUP(3556,季財報!A:H,6)</f>
        <v>1</v>
      </c>
      <c r="G223" s="18">
        <f>VLOOKUP(3556,季財報!A:H,7)</f>
        <v>0</v>
      </c>
      <c r="N223" s="20">
        <f t="shared" si="3"/>
        <v>1</v>
      </c>
    </row>
    <row r="224" spans="1:19">
      <c r="A224" s="307" t="str">
        <f>HYPERLINK("http://www.wantgoo.com/stock/chart.aspx?stockno=5203","5203")</f>
        <v>5203</v>
      </c>
      <c r="C224" s="18">
        <f>VLOOKUP(5203,季財報!A:H,3)</f>
        <v>0</v>
      </c>
      <c r="D224" s="18">
        <f>VLOOKUP(5203,季財報!A:H,4)</f>
        <v>1</v>
      </c>
      <c r="E224" s="18">
        <f>VLOOKUP(5203,季財報!A:H,5)</f>
        <v>2</v>
      </c>
      <c r="F224" s="18">
        <f>VLOOKUP(5203,季財報!A:H,6)</f>
        <v>0</v>
      </c>
      <c r="G224" s="18">
        <f>VLOOKUP(5203,季財報!A:H,7)</f>
        <v>0</v>
      </c>
      <c r="N224" s="20">
        <f t="shared" si="3"/>
        <v>3</v>
      </c>
    </row>
    <row r="225" spans="1:19">
      <c r="A225" s="308" t="str">
        <f>HYPERLINK("http://www.wantgoo.com/stock/chart.aspx?stockno=3527","3527")</f>
        <v>3527</v>
      </c>
      <c r="C225" s="18">
        <f>VLOOKUP(3527,季財報!A:H,3)</f>
        <v>0</v>
      </c>
      <c r="D225" s="18">
        <f>VLOOKUP(3527,季財報!A:H,4)</f>
        <v>1</v>
      </c>
      <c r="E225" s="18">
        <f>VLOOKUP(3527,季財報!A:H,5)</f>
        <v>0</v>
      </c>
      <c r="F225" s="18">
        <f>VLOOKUP(3527,季財報!A:H,6)</f>
        <v>0</v>
      </c>
      <c r="G225" s="18">
        <f>VLOOKUP(3527,季財報!A:H,7)</f>
        <v>0</v>
      </c>
      <c r="N225" s="20">
        <f t="shared" si="3"/>
        <v>1</v>
      </c>
    </row>
    <row r="226" spans="1:19" s="317" customFormat="1">
      <c r="A226" s="309" t="str">
        <f>HYPERLINK("http://www.wantgoo.com/stock/chart.aspx?stockno=3088","3088")</f>
        <v>3088</v>
      </c>
      <c r="B226" s="310"/>
      <c r="C226" s="311">
        <f>VLOOKUP(3088,季財報!A:H,3)</f>
        <v>1</v>
      </c>
      <c r="D226" s="311">
        <f>VLOOKUP(3088,季財報!A:H,4)</f>
        <v>1</v>
      </c>
      <c r="E226" s="311">
        <f>VLOOKUP(3088,季財報!A:H,5)</f>
        <v>1</v>
      </c>
      <c r="F226" s="311">
        <f>VLOOKUP(3088,季財報!A:H,6)</f>
        <v>1</v>
      </c>
      <c r="G226" s="311">
        <f>VLOOKUP(3088,季財報!A:H,7)</f>
        <v>0</v>
      </c>
      <c r="H226" s="312"/>
      <c r="I226" s="312"/>
      <c r="J226" s="312"/>
      <c r="K226" s="312"/>
      <c r="L226" s="312"/>
      <c r="M226" s="313"/>
      <c r="N226" s="312">
        <f t="shared" si="3"/>
        <v>4</v>
      </c>
      <c r="O226" s="314"/>
      <c r="P226" s="314"/>
      <c r="Q226" s="314"/>
      <c r="R226" s="314"/>
      <c r="S226" s="315"/>
    </row>
    <row r="227" spans="1:19">
      <c r="A227" s="308" t="str">
        <f>HYPERLINK("http://www.wantgoo.com/stock/chart.aspx?stockno=1442","1442")</f>
        <v>1442</v>
      </c>
      <c r="C227" s="18">
        <f>VLOOKUP(1442,季財報!A:H,3)</f>
        <v>0</v>
      </c>
      <c r="D227" s="18">
        <f>VLOOKUP(1442,季財報!A:H,4)</f>
        <v>0</v>
      </c>
      <c r="E227" s="18">
        <f>VLOOKUP(1442,季財報!A:H,5)</f>
        <v>0</v>
      </c>
      <c r="F227" s="18">
        <f>VLOOKUP(1442,季財報!A:H,6)</f>
        <v>0</v>
      </c>
      <c r="G227" s="18">
        <f>VLOOKUP(1442,季財報!A:H,7)</f>
        <v>0</v>
      </c>
      <c r="N227" s="20">
        <f t="shared" si="3"/>
        <v>0</v>
      </c>
    </row>
    <row r="228" spans="1:19">
      <c r="A228" s="308" t="str">
        <f>HYPERLINK("http://www.wantgoo.com/stock/chart.aspx?stockno=8426","8426")</f>
        <v>8426</v>
      </c>
      <c r="C228" s="18">
        <f>VLOOKUP(8426,季財報!A:H,3)</f>
        <v>1</v>
      </c>
      <c r="D228" s="18">
        <f>VLOOKUP(8426,季財報!A:H,4)</f>
        <v>1</v>
      </c>
      <c r="E228" s="18">
        <f>VLOOKUP(8426,季財報!A:H,5)</f>
        <v>1</v>
      </c>
      <c r="F228" s="18">
        <f>VLOOKUP(8426,季財報!A:H,6)</f>
        <v>1</v>
      </c>
      <c r="G228" s="18">
        <f>VLOOKUP(8426,季財報!A:H,7)</f>
        <v>0</v>
      </c>
      <c r="N228" s="20">
        <f t="shared" si="3"/>
        <v>4</v>
      </c>
    </row>
    <row r="229" spans="1:19">
      <c r="A229" s="308" t="str">
        <f>HYPERLINK("http://www.wantgoo.com/stock/chart.aspx?stockno=1457","1457")</f>
        <v>1457</v>
      </c>
      <c r="C229" s="18">
        <f>VLOOKUP(1457,季財報!A:H,3)</f>
        <v>0</v>
      </c>
      <c r="D229" s="18">
        <f>VLOOKUP(1457,季財報!A:H,4)</f>
        <v>1</v>
      </c>
      <c r="E229" s="18">
        <f>VLOOKUP(1457,季財報!A:H,5)</f>
        <v>0</v>
      </c>
      <c r="F229" s="18">
        <f>VLOOKUP(1457,季財報!A:H,6)</f>
        <v>0</v>
      </c>
      <c r="G229" s="18">
        <f>VLOOKUP(1457,季財報!A:H,7)</f>
        <v>1</v>
      </c>
      <c r="N229" s="20">
        <f t="shared" si="3"/>
        <v>2</v>
      </c>
    </row>
    <row r="230" spans="1:19">
      <c r="A230" s="307" t="str">
        <f>HYPERLINK("http://www.wantgoo.com/stock/chart.aspx?stockno=2064","2064")</f>
        <v>2064</v>
      </c>
      <c r="C230" s="18">
        <f>VLOOKUP(2064,季財報!A:H,3)</f>
        <v>0</v>
      </c>
      <c r="D230" s="18">
        <f>VLOOKUP(2064,季財報!A:H,4)</f>
        <v>1</v>
      </c>
      <c r="E230" s="18">
        <f>VLOOKUP(2064,季財報!A:H,5)</f>
        <v>0</v>
      </c>
      <c r="F230" s="18">
        <f>VLOOKUP(2064,季財報!A:H,6)</f>
        <v>1</v>
      </c>
      <c r="G230" s="18">
        <f>VLOOKUP(2064,季財報!A:H,7)</f>
        <v>0</v>
      </c>
      <c r="N230" s="20">
        <f t="shared" si="3"/>
        <v>2</v>
      </c>
    </row>
    <row r="231" spans="1:19">
      <c r="A231" s="307" t="str">
        <f>HYPERLINK("http://www.wantgoo.com/stock/chart.aspx?stockno=2437","2437")</f>
        <v>2437</v>
      </c>
      <c r="C231" s="18">
        <f>VLOOKUP(2437,季財報!A:H,3)</f>
        <v>1</v>
      </c>
      <c r="D231" s="18">
        <f>VLOOKUP(2437,季財報!A:H,4)</f>
        <v>1</v>
      </c>
      <c r="E231" s="18">
        <f>VLOOKUP(2437,季財報!A:H,5)</f>
        <v>0</v>
      </c>
      <c r="F231" s="18">
        <f>VLOOKUP(2437,季財報!A:H,6)</f>
        <v>1</v>
      </c>
      <c r="G231" s="18">
        <f>VLOOKUP(2437,季財報!A:H,7)</f>
        <v>0</v>
      </c>
      <c r="N231" s="20">
        <f t="shared" si="3"/>
        <v>3</v>
      </c>
    </row>
    <row r="232" spans="1:19">
      <c r="A232" s="307" t="str">
        <f>HYPERLINK("http://www.wantgoo.com/stock/chart.aspx?stockno=3570","3570")</f>
        <v>3570</v>
      </c>
      <c r="C232" s="18">
        <f>VLOOKUP(3570,季財報!A:H,3)</f>
        <v>0</v>
      </c>
      <c r="D232" s="18">
        <f>VLOOKUP(3570,季財報!A:H,4)</f>
        <v>0</v>
      </c>
      <c r="E232" s="18">
        <f>VLOOKUP(3570,季財報!A:H,5)</f>
        <v>2</v>
      </c>
      <c r="F232" s="18">
        <f>VLOOKUP(3570,季財報!A:H,6)</f>
        <v>0</v>
      </c>
      <c r="G232" s="18">
        <f>VLOOKUP(3570,季財報!A:H,7)</f>
        <v>0</v>
      </c>
      <c r="N232" s="20">
        <f t="shared" si="3"/>
        <v>2</v>
      </c>
    </row>
    <row r="233" spans="1:19">
      <c r="A233" s="307" t="str">
        <f>HYPERLINK("http://www.wantgoo.com/stock/chart.aspx?stockno=2359","2359")</f>
        <v>2359</v>
      </c>
      <c r="C233" s="18">
        <f>VLOOKUP(2359,季財報!A:H,3)</f>
        <v>0</v>
      </c>
      <c r="D233" s="18">
        <f>VLOOKUP(2359,季財報!A:H,4)</f>
        <v>1</v>
      </c>
      <c r="E233" s="18">
        <f>VLOOKUP(2359,季財報!A:H,5)</f>
        <v>0</v>
      </c>
      <c r="F233" s="18">
        <f>VLOOKUP(2359,季財報!A:H,6)</f>
        <v>1</v>
      </c>
      <c r="G233" s="18">
        <f>VLOOKUP(2359,季財報!A:H,7)</f>
        <v>0</v>
      </c>
      <c r="N233" s="20">
        <f t="shared" si="3"/>
        <v>2</v>
      </c>
    </row>
    <row r="234" spans="1:19">
      <c r="A234" s="308" t="str">
        <f>HYPERLINK("http://www.wantgoo.com/stock/chart.aspx?stockno=1813","1813")</f>
        <v>1813</v>
      </c>
      <c r="C234" s="18">
        <f>VLOOKUP(1813,季財報!A:H,3)</f>
        <v>1</v>
      </c>
      <c r="D234" s="18">
        <f>VLOOKUP(1813,季財報!A:H,4)</f>
        <v>1</v>
      </c>
      <c r="E234" s="18">
        <f>VLOOKUP(1813,季財報!A:H,5)</f>
        <v>0</v>
      </c>
      <c r="F234" s="18">
        <f>VLOOKUP(1813,季財報!A:H,6)</f>
        <v>1</v>
      </c>
      <c r="G234" s="18">
        <f>VLOOKUP(1813,季財報!A:H,7)</f>
        <v>0</v>
      </c>
      <c r="N234" s="20">
        <f t="shared" si="3"/>
        <v>3</v>
      </c>
    </row>
    <row r="235" spans="1:19">
      <c r="A235" s="308" t="str">
        <f>HYPERLINK("http://www.wantgoo.com/stock/chart.aspx?stockno=4432","4432")</f>
        <v>4432</v>
      </c>
      <c r="C235" s="18">
        <f>VLOOKUP(4432,季財報!A:H,3)</f>
        <v>1</v>
      </c>
      <c r="D235" s="18">
        <f>VLOOKUP(4432,季財報!A:H,4)</f>
        <v>1</v>
      </c>
      <c r="E235" s="18">
        <f>VLOOKUP(4432,季財報!A:H,5)</f>
        <v>0</v>
      </c>
      <c r="F235" s="18">
        <f>VLOOKUP(4432,季財報!A:H,6)</f>
        <v>1</v>
      </c>
      <c r="G235" s="18">
        <f>VLOOKUP(4432,季財報!A:H,7)</f>
        <v>0</v>
      </c>
      <c r="N235" s="20">
        <f t="shared" si="3"/>
        <v>3</v>
      </c>
    </row>
    <row r="236" spans="1:19" s="317" customFormat="1">
      <c r="A236" s="309" t="str">
        <f>HYPERLINK("http://www.wantgoo.com/stock/chart.aspx?stockno=8255","8255")</f>
        <v>8255</v>
      </c>
      <c r="B236" s="310"/>
      <c r="C236" s="311">
        <f>VLOOKUP(8255,季財報!A:H,3)</f>
        <v>1</v>
      </c>
      <c r="D236" s="311">
        <f>VLOOKUP(8255,季財報!A:H,4)</f>
        <v>1</v>
      </c>
      <c r="E236" s="311">
        <f>VLOOKUP(8255,季財報!A:H,5)</f>
        <v>0</v>
      </c>
      <c r="F236" s="311">
        <f>VLOOKUP(8255,季財報!A:H,6)</f>
        <v>1</v>
      </c>
      <c r="G236" s="311">
        <f>VLOOKUP(8255,季財報!A:H,7)</f>
        <v>0</v>
      </c>
      <c r="H236" s="312"/>
      <c r="I236" s="312"/>
      <c r="J236" s="312"/>
      <c r="K236" s="312"/>
      <c r="L236" s="312"/>
      <c r="M236" s="313"/>
      <c r="N236" s="312">
        <f t="shared" si="3"/>
        <v>3</v>
      </c>
      <c r="O236" s="314"/>
      <c r="P236" s="314"/>
      <c r="Q236" s="314"/>
      <c r="R236" s="314"/>
      <c r="S236" s="315"/>
    </row>
    <row r="237" spans="1:19">
      <c r="A237" s="308" t="str">
        <f>HYPERLINK("http://www.wantgoo.com/stock/chart.aspx?stockno=6121","6121")</f>
        <v>6121</v>
      </c>
      <c r="C237" s="18">
        <f>VLOOKUP(6121,季財報!A:H,3)</f>
        <v>0</v>
      </c>
      <c r="D237" s="18">
        <f>VLOOKUP(6121,季財報!A:H,4)</f>
        <v>1</v>
      </c>
      <c r="E237" s="18">
        <f>VLOOKUP(6121,季財報!A:H,5)</f>
        <v>0</v>
      </c>
      <c r="F237" s="18">
        <f>VLOOKUP(6121,季財報!A:H,6)</f>
        <v>1</v>
      </c>
      <c r="G237" s="18">
        <f>VLOOKUP(6121,季財報!A:H,7)</f>
        <v>0</v>
      </c>
      <c r="N237" s="20">
        <f t="shared" si="3"/>
        <v>2</v>
      </c>
    </row>
    <row r="238" spans="1:19">
      <c r="A238" s="308" t="str">
        <f>HYPERLINK("http://www.wantgoo.com/stock/chart.aspx?stockno=8016","8016")</f>
        <v>8016</v>
      </c>
      <c r="C238" s="18">
        <f>VLOOKUP(8016,季財報!A:H,3)</f>
        <v>1</v>
      </c>
      <c r="D238" s="18">
        <f>VLOOKUP(8016,季財報!A:H,4)</f>
        <v>1</v>
      </c>
      <c r="E238" s="18">
        <f>VLOOKUP(8016,季財報!A:H,5)</f>
        <v>0</v>
      </c>
      <c r="F238" s="18">
        <f>VLOOKUP(8016,季財報!A:H,6)</f>
        <v>1</v>
      </c>
      <c r="G238" s="18">
        <f>VLOOKUP(8016,季財報!A:H,7)</f>
        <v>0</v>
      </c>
      <c r="N238" s="20">
        <f t="shared" si="3"/>
        <v>3</v>
      </c>
    </row>
    <row r="239" spans="1:19">
      <c r="A239" s="307" t="str">
        <f>HYPERLINK("http://www.wantgoo.com/stock/chart.aspx?stockno=8083","8083")</f>
        <v>8083</v>
      </c>
      <c r="C239" s="18">
        <f>VLOOKUP(8083,季財報!A:H,3)</f>
        <v>1</v>
      </c>
      <c r="D239" s="18">
        <f>VLOOKUP(8083,季財報!A:H,4)</f>
        <v>1</v>
      </c>
      <c r="E239" s="18">
        <f>VLOOKUP(8083,季財報!A:H,5)</f>
        <v>0</v>
      </c>
      <c r="F239" s="18">
        <f>VLOOKUP(8083,季財報!A:H,6)</f>
        <v>1</v>
      </c>
      <c r="G239" s="18">
        <f>VLOOKUP(8083,季財報!A:H,7)</f>
        <v>0</v>
      </c>
      <c r="N239" s="20">
        <f t="shared" si="3"/>
        <v>3</v>
      </c>
    </row>
    <row r="240" spans="1:19">
      <c r="A240" s="307" t="str">
        <f>HYPERLINK("http://www.wantgoo.com/stock/chart.aspx?stockno=1521","1521")</f>
        <v>1521</v>
      </c>
      <c r="C240" s="18">
        <f>VLOOKUP(1521,季財報!A:H,3)</f>
        <v>0</v>
      </c>
      <c r="D240" s="18">
        <f>VLOOKUP(1521,季財報!A:H,4)</f>
        <v>1</v>
      </c>
      <c r="E240" s="18">
        <f>VLOOKUP(1521,季財報!A:H,5)</f>
        <v>0</v>
      </c>
      <c r="F240" s="18">
        <f>VLOOKUP(1521,季財報!A:H,6)</f>
        <v>1</v>
      </c>
      <c r="G240" s="18">
        <f>VLOOKUP(1521,季財報!A:H,7)</f>
        <v>0</v>
      </c>
      <c r="N240" s="20">
        <f t="shared" si="3"/>
        <v>2</v>
      </c>
    </row>
    <row r="241" spans="1:19">
      <c r="A241" s="308" t="str">
        <f>HYPERLINK("http://www.wantgoo.com/stock/chart.aspx?stockno=4966","4966")</f>
        <v>4966</v>
      </c>
      <c r="C241" s="18">
        <f>VLOOKUP(4966,季財報!A:H,3)</f>
        <v>0</v>
      </c>
      <c r="D241" s="18">
        <f>VLOOKUP(4966,季財報!A:H,4)</f>
        <v>0</v>
      </c>
      <c r="E241" s="18">
        <f>VLOOKUP(4966,季財報!A:H,5)</f>
        <v>2</v>
      </c>
      <c r="F241" s="18">
        <f>VLOOKUP(4966,季財報!A:H,6)</f>
        <v>0</v>
      </c>
      <c r="G241" s="18">
        <f>VLOOKUP(4966,季財報!A:H,7)</f>
        <v>0</v>
      </c>
      <c r="N241" s="20">
        <f t="shared" si="3"/>
        <v>2</v>
      </c>
    </row>
    <row r="242" spans="1:19">
      <c r="A242" s="307" t="str">
        <f>HYPERLINK("http://www.wantgoo.com/stock/chart.aspx?stockno=2062","2062")</f>
        <v>2062</v>
      </c>
      <c r="C242" s="18">
        <f>VLOOKUP(2062,季財報!A:H,3)</f>
        <v>0</v>
      </c>
      <c r="D242" s="18">
        <f>VLOOKUP(2062,季財報!A:H,4)</f>
        <v>1</v>
      </c>
      <c r="E242" s="18">
        <f>VLOOKUP(2062,季財報!A:H,5)</f>
        <v>0</v>
      </c>
      <c r="F242" s="18">
        <f>VLOOKUP(2062,季財報!A:H,6)</f>
        <v>1</v>
      </c>
      <c r="G242" s="18">
        <f>VLOOKUP(2062,季財報!A:H,7)</f>
        <v>1</v>
      </c>
      <c r="N242" s="20">
        <f t="shared" si="3"/>
        <v>3</v>
      </c>
    </row>
    <row r="243" spans="1:19" s="317" customFormat="1">
      <c r="A243" s="309" t="str">
        <f>HYPERLINK("http://www.wantgoo.com/stock/chart.aspx?stockno=6202","6202")</f>
        <v>6202</v>
      </c>
      <c r="B243" s="310"/>
      <c r="C243" s="311">
        <f>VLOOKUP(6202,季財報!A:H,3)</f>
        <v>1</v>
      </c>
      <c r="D243" s="311">
        <f>VLOOKUP(6202,季財報!A:H,4)</f>
        <v>1</v>
      </c>
      <c r="E243" s="311">
        <f>VLOOKUP(6202,季財報!A:H,5)</f>
        <v>0</v>
      </c>
      <c r="F243" s="311">
        <f>VLOOKUP(6202,季財報!A:H,6)</f>
        <v>1</v>
      </c>
      <c r="G243" s="311">
        <f>VLOOKUP(6202,季財報!A:H,7)</f>
        <v>1</v>
      </c>
      <c r="H243" s="312"/>
      <c r="I243" s="312"/>
      <c r="J243" s="312"/>
      <c r="K243" s="312"/>
      <c r="L243" s="312"/>
      <c r="M243" s="313"/>
      <c r="N243" s="312">
        <f t="shared" si="3"/>
        <v>4</v>
      </c>
      <c r="O243" s="314"/>
      <c r="P243" s="314"/>
      <c r="Q243" s="314"/>
      <c r="R243" s="314"/>
      <c r="S243" s="315"/>
    </row>
    <row r="244" spans="1:19">
      <c r="A244" s="308" t="str">
        <f>HYPERLINK("http://www.wantgoo.com/stock/chart.aspx?stockno=2066","2066")</f>
        <v>2066</v>
      </c>
      <c r="C244" s="18">
        <f>VLOOKUP(2066,季財報!A:H,3)</f>
        <v>1</v>
      </c>
      <c r="D244" s="18">
        <f>VLOOKUP(2066,季財報!A:H,4)</f>
        <v>1</v>
      </c>
      <c r="E244" s="18">
        <f>VLOOKUP(2066,季財報!A:H,5)</f>
        <v>0</v>
      </c>
      <c r="F244" s="18">
        <f>VLOOKUP(2066,季財報!A:H,6)</f>
        <v>1</v>
      </c>
      <c r="G244" s="18">
        <f>VLOOKUP(2066,季財報!A:H,7)</f>
        <v>0</v>
      </c>
      <c r="N244" s="20">
        <f t="shared" si="3"/>
        <v>3</v>
      </c>
    </row>
    <row r="245" spans="1:19">
      <c r="A245" s="308" t="str">
        <f>HYPERLINK("http://www.wantgoo.com/stock/chart.aspx?stockno=6187","6187")</f>
        <v>6187</v>
      </c>
      <c r="C245" s="18">
        <f>VLOOKUP(6187,季財報!A:H,3)</f>
        <v>0</v>
      </c>
      <c r="D245" s="18">
        <f>VLOOKUP(6187,季財報!A:H,4)</f>
        <v>1</v>
      </c>
      <c r="E245" s="18">
        <f>VLOOKUP(6187,季財報!A:H,5)</f>
        <v>0</v>
      </c>
      <c r="F245" s="18">
        <f>VLOOKUP(6187,季財報!A:H,6)</f>
        <v>0</v>
      </c>
      <c r="G245" s="18">
        <f>VLOOKUP(6187,季財報!A:H,7)</f>
        <v>0</v>
      </c>
      <c r="N245" s="20">
        <f t="shared" si="3"/>
        <v>1</v>
      </c>
    </row>
    <row r="246" spans="1:19">
      <c r="A246" s="308" t="str">
        <f>HYPERLINK("http://www.wantgoo.com/stock/chart.aspx?stockno=6257","6257")</f>
        <v>6257</v>
      </c>
      <c r="C246" s="18">
        <f>VLOOKUP(6257,季財報!A:H,3)</f>
        <v>0</v>
      </c>
      <c r="D246" s="18">
        <f>VLOOKUP(6257,季財報!A:H,4)</f>
        <v>0</v>
      </c>
      <c r="E246" s="18">
        <f>VLOOKUP(6257,季財報!A:H,5)</f>
        <v>1</v>
      </c>
      <c r="F246" s="18">
        <f>VLOOKUP(6257,季財報!A:H,6)</f>
        <v>1</v>
      </c>
      <c r="G246" s="18">
        <f>VLOOKUP(6257,季財報!A:H,7)</f>
        <v>0</v>
      </c>
      <c r="N246" s="20">
        <f t="shared" si="3"/>
        <v>2</v>
      </c>
    </row>
    <row r="247" spans="1:19">
      <c r="A247" s="308" t="str">
        <f>HYPERLINK("http://www.wantgoo.com/stock/chart.aspx?stockno=2409","2409")</f>
        <v>2409</v>
      </c>
      <c r="C247" s="18">
        <f>VLOOKUP(2409,季財報!A:H,3)</f>
        <v>0</v>
      </c>
      <c r="D247" s="18">
        <f>VLOOKUP(2409,季財報!A:H,4)</f>
        <v>0</v>
      </c>
      <c r="E247" s="18">
        <f>VLOOKUP(2409,季財報!A:H,5)</f>
        <v>0</v>
      </c>
      <c r="F247" s="18">
        <f>VLOOKUP(2409,季財報!A:H,6)</f>
        <v>1</v>
      </c>
      <c r="G247" s="18">
        <f>VLOOKUP(2409,季財報!A:H,7)</f>
        <v>0</v>
      </c>
      <c r="N247" s="20">
        <f t="shared" si="3"/>
        <v>1</v>
      </c>
    </row>
    <row r="248" spans="1:19">
      <c r="A248" s="308" t="str">
        <f>HYPERLINK("http://www.wantgoo.com/stock/chart.aspx?stockno=3209","3209")</f>
        <v>3209</v>
      </c>
      <c r="C248" s="18">
        <f>VLOOKUP(3209,季財報!A:H,3)</f>
        <v>0</v>
      </c>
      <c r="D248" s="18">
        <f>VLOOKUP(3209,季財報!A:H,4)</f>
        <v>1</v>
      </c>
      <c r="E248" s="18">
        <f>VLOOKUP(3209,季財報!A:H,5)</f>
        <v>1</v>
      </c>
      <c r="F248" s="18">
        <f>VLOOKUP(3209,季財報!A:H,6)</f>
        <v>0</v>
      </c>
      <c r="G248" s="18">
        <f>VLOOKUP(3209,季財報!A:H,7)</f>
        <v>0</v>
      </c>
      <c r="N248" s="20">
        <f t="shared" si="3"/>
        <v>2</v>
      </c>
    </row>
    <row r="249" spans="1:19">
      <c r="A249" s="307" t="str">
        <f>HYPERLINK("http://www.wantgoo.com/stock/chart.aspx?stockno=2227","2227")</f>
        <v>2227</v>
      </c>
      <c r="C249" s="18">
        <f>VLOOKUP(2227,季財報!A:H,3)</f>
        <v>0</v>
      </c>
      <c r="D249" s="18">
        <f>VLOOKUP(2227,季財報!A:H,4)</f>
        <v>0</v>
      </c>
      <c r="E249" s="18">
        <f>VLOOKUP(2227,季財報!A:H,5)</f>
        <v>0</v>
      </c>
      <c r="F249" s="18">
        <f>VLOOKUP(2227,季財報!A:H,6)</f>
        <v>0</v>
      </c>
      <c r="G249" s="18">
        <f>VLOOKUP(2227,季財報!A:H,7)</f>
        <v>0</v>
      </c>
      <c r="N249" s="20">
        <f t="shared" si="3"/>
        <v>0</v>
      </c>
    </row>
    <row r="250" spans="1:19">
      <c r="A250" s="308" t="str">
        <f>HYPERLINK("http://www.wantgoo.com/stock/chart.aspx?stockno=3048","3048")</f>
        <v>3048</v>
      </c>
      <c r="C250" s="18">
        <f>VLOOKUP(3048,季財報!A:H,3)</f>
        <v>0</v>
      </c>
      <c r="D250" s="18">
        <f>VLOOKUP(3048,季財報!A:H,4)</f>
        <v>1</v>
      </c>
      <c r="E250" s="18">
        <f>VLOOKUP(3048,季財報!A:H,5)</f>
        <v>1</v>
      </c>
      <c r="F250" s="18">
        <f>VLOOKUP(3048,季財報!A:H,6)</f>
        <v>0</v>
      </c>
      <c r="G250" s="18">
        <f>VLOOKUP(3048,季財報!A:H,7)</f>
        <v>0</v>
      </c>
      <c r="N250" s="20">
        <f t="shared" si="3"/>
        <v>2</v>
      </c>
    </row>
    <row r="251" spans="1:19">
      <c r="A251" s="307" t="str">
        <f>HYPERLINK("http://www.wantgoo.com/stock/chart.aspx?stockno=2325","2325")</f>
        <v>2325</v>
      </c>
      <c r="C251" s="18">
        <f>VLOOKUP(2325,季財報!A:H,3)</f>
        <v>0</v>
      </c>
      <c r="D251" s="18">
        <f>VLOOKUP(2325,季財報!A:H,4)</f>
        <v>0</v>
      </c>
      <c r="E251" s="18">
        <f>VLOOKUP(2325,季財報!A:H,5)</f>
        <v>0</v>
      </c>
      <c r="F251" s="18">
        <f>VLOOKUP(2325,季財報!A:H,6)</f>
        <v>1</v>
      </c>
      <c r="G251" s="18">
        <f>VLOOKUP(2325,季財報!A:H,7)</f>
        <v>0</v>
      </c>
      <c r="N251" s="20">
        <f t="shared" si="3"/>
        <v>1</v>
      </c>
    </row>
    <row r="252" spans="1:19">
      <c r="A252" s="308" t="str">
        <f>HYPERLINK("http://www.wantgoo.com/stock/chart.aspx?stockno=2732","2732")</f>
        <v>2732</v>
      </c>
      <c r="C252" s="18">
        <f>VLOOKUP(2732,季財報!A:H,3)</f>
        <v>0</v>
      </c>
      <c r="D252" s="18">
        <f>VLOOKUP(2732,季財報!A:H,4)</f>
        <v>1</v>
      </c>
      <c r="E252" s="18">
        <f>VLOOKUP(2732,季財報!A:H,5)</f>
        <v>2</v>
      </c>
      <c r="F252" s="18">
        <f>VLOOKUP(2732,季財報!A:H,6)</f>
        <v>1</v>
      </c>
      <c r="G252" s="18">
        <f>VLOOKUP(2732,季財報!A:H,7)</f>
        <v>0</v>
      </c>
      <c r="N252" s="20">
        <f t="shared" si="3"/>
        <v>4</v>
      </c>
    </row>
    <row r="253" spans="1:19">
      <c r="A253" s="308" t="str">
        <f>HYPERLINK("http://www.wantgoo.com/stock/chart.aspx?stockno=6609","6609")</f>
        <v>6609</v>
      </c>
      <c r="C253" s="18">
        <f>VLOOKUP(6609,季財報!A:H,3)</f>
        <v>1</v>
      </c>
      <c r="D253" s="18">
        <f>VLOOKUP(6609,季財報!A:H,4)</f>
        <v>1</v>
      </c>
      <c r="E253" s="18">
        <f>VLOOKUP(6609,季財報!A:H,5)</f>
        <v>0</v>
      </c>
      <c r="F253" s="18">
        <f>VLOOKUP(6609,季財報!A:H,6)</f>
        <v>0</v>
      </c>
      <c r="G253" s="18">
        <f>VLOOKUP(6609,季財報!A:H,7)</f>
        <v>0</v>
      </c>
      <c r="N253" s="20">
        <f t="shared" si="3"/>
        <v>2</v>
      </c>
    </row>
    <row r="254" spans="1:19">
      <c r="A254" s="307" t="str">
        <f>HYPERLINK("http://www.wantgoo.com/stock/chart.aspx?stockno=2520","2520")</f>
        <v>2520</v>
      </c>
      <c r="C254" s="18">
        <f>VLOOKUP(2520,季財報!A:H,3)</f>
        <v>0</v>
      </c>
      <c r="D254" s="18">
        <f>VLOOKUP(2520,季財報!A:H,4)</f>
        <v>1</v>
      </c>
      <c r="E254" s="18">
        <f>VLOOKUP(2520,季財報!A:H,5)</f>
        <v>2</v>
      </c>
      <c r="F254" s="18">
        <f>VLOOKUP(2520,季財報!A:H,6)</f>
        <v>0</v>
      </c>
      <c r="G254" s="18">
        <f>VLOOKUP(2520,季財報!A:H,7)</f>
        <v>0</v>
      </c>
      <c r="N254" s="20">
        <f t="shared" si="3"/>
        <v>3</v>
      </c>
    </row>
    <row r="255" spans="1:19">
      <c r="A255" s="307" t="str">
        <f>HYPERLINK("http://www.wantgoo.com/stock/chart.aspx?stockno=3006","3006")</f>
        <v>3006</v>
      </c>
      <c r="C255" s="18">
        <f>VLOOKUP(3006,季財報!A:H,3)</f>
        <v>0</v>
      </c>
      <c r="D255" s="18">
        <f>VLOOKUP(3006,季財報!A:H,4)</f>
        <v>1</v>
      </c>
      <c r="E255" s="18">
        <f>VLOOKUP(3006,季財報!A:H,5)</f>
        <v>0</v>
      </c>
      <c r="F255" s="18">
        <f>VLOOKUP(3006,季財報!A:H,6)</f>
        <v>1</v>
      </c>
      <c r="G255" s="18">
        <f>VLOOKUP(3006,季財報!A:H,7)</f>
        <v>0</v>
      </c>
      <c r="N255" s="20">
        <f t="shared" si="3"/>
        <v>2</v>
      </c>
    </row>
    <row r="256" spans="1:19">
      <c r="A256" s="307" t="str">
        <f>HYPERLINK("http://www.wantgoo.com/stock/chart.aspx?stockno=2640","2640")</f>
        <v>2640</v>
      </c>
      <c r="C256" s="18">
        <f>VLOOKUP(2640,季財報!A:H,3)</f>
        <v>0</v>
      </c>
      <c r="D256" s="18">
        <f>VLOOKUP(2640,季財報!A:H,4)</f>
        <v>0</v>
      </c>
      <c r="E256" s="18">
        <f>VLOOKUP(2640,季財報!A:H,5)</f>
        <v>0</v>
      </c>
      <c r="F256" s="18">
        <f>VLOOKUP(2640,季財報!A:H,6)</f>
        <v>0</v>
      </c>
      <c r="G256" s="18">
        <f>VLOOKUP(2640,季財報!A:H,7)</f>
        <v>0</v>
      </c>
      <c r="N256" s="20">
        <f t="shared" si="3"/>
        <v>0</v>
      </c>
    </row>
    <row r="257" spans="1:14">
      <c r="A257" s="308" t="str">
        <f>HYPERLINK("http://www.wantgoo.com/stock/chart.aspx?stockno=3551","3551")</f>
        <v>3551</v>
      </c>
      <c r="C257" s="18">
        <f>VLOOKUP(3551,季財報!A:H,3)</f>
        <v>0</v>
      </c>
      <c r="D257" s="18">
        <f>VLOOKUP(3551,季財報!A:H,4)</f>
        <v>1</v>
      </c>
      <c r="E257" s="18">
        <f>VLOOKUP(3551,季財報!A:H,5)</f>
        <v>0</v>
      </c>
      <c r="F257" s="18">
        <f>VLOOKUP(3551,季財報!A:H,6)</f>
        <v>0</v>
      </c>
      <c r="G257" s="18">
        <f>VLOOKUP(3551,季財報!A:H,7)</f>
        <v>0</v>
      </c>
      <c r="N257" s="20">
        <f t="shared" si="3"/>
        <v>1</v>
      </c>
    </row>
    <row r="258" spans="1:14">
      <c r="A258" s="307" t="str">
        <f>HYPERLINK("http://www.wantgoo.com/stock/chart.aspx?stockno=6179","6179")</f>
        <v>6179</v>
      </c>
      <c r="C258" s="18">
        <f>VLOOKUP(6179,季財報!A:H,3)</f>
        <v>0</v>
      </c>
      <c r="D258" s="18">
        <f>VLOOKUP(6179,季財報!A:H,4)</f>
        <v>1</v>
      </c>
      <c r="E258" s="18">
        <f>VLOOKUP(6179,季財報!A:H,5)</f>
        <v>0</v>
      </c>
      <c r="F258" s="18">
        <f>VLOOKUP(6179,季財報!A:H,6)</f>
        <v>0</v>
      </c>
      <c r="G258" s="18">
        <f>VLOOKUP(6179,季財報!A:H,7)</f>
        <v>0</v>
      </c>
      <c r="N258" s="20">
        <f t="shared" si="3"/>
        <v>1</v>
      </c>
    </row>
    <row r="259" spans="1:14">
      <c r="A259" s="308" t="str">
        <f>HYPERLINK("http://www.wantgoo.com/stock/chart.aspx?stockno=8933","8933")</f>
        <v>8933</v>
      </c>
      <c r="C259" s="18">
        <f>VLOOKUP(8933,季財報!A:H,3)</f>
        <v>1</v>
      </c>
      <c r="D259" s="18">
        <f>VLOOKUP(8933,季財報!A:H,4)</f>
        <v>1</v>
      </c>
      <c r="E259" s="18">
        <f>VLOOKUP(8933,季財報!A:H,5)</f>
        <v>2</v>
      </c>
      <c r="F259" s="18">
        <f>VLOOKUP(8933,季財報!A:H,6)</f>
        <v>0</v>
      </c>
      <c r="G259" s="18">
        <f>VLOOKUP(8933,季財報!A:H,7)</f>
        <v>0</v>
      </c>
      <c r="N259" s="20">
        <f t="shared" si="3"/>
        <v>4</v>
      </c>
    </row>
    <row r="260" spans="1:14">
      <c r="A260" s="307" t="str">
        <f>HYPERLINK("http://www.wantgoo.com/stock/chart.aspx?stockno=3144","3144")</f>
        <v>3144</v>
      </c>
      <c r="C260" s="18">
        <f>VLOOKUP(3144,季財報!A:H,3)</f>
        <v>0</v>
      </c>
      <c r="D260" s="18">
        <f>VLOOKUP(3144,季財報!A:H,4)</f>
        <v>1</v>
      </c>
      <c r="E260" s="18">
        <f>VLOOKUP(3144,季財報!A:H,5)</f>
        <v>0</v>
      </c>
      <c r="F260" s="18">
        <f>VLOOKUP(3144,季財報!A:H,6)</f>
        <v>1</v>
      </c>
      <c r="G260" s="18">
        <f>VLOOKUP(3144,季財報!A:H,7)</f>
        <v>0</v>
      </c>
      <c r="N260" s="20">
        <f t="shared" ref="N260:N323" si="4">SUM(C260:M260)</f>
        <v>2</v>
      </c>
    </row>
    <row r="261" spans="1:14">
      <c r="A261" s="307" t="str">
        <f>HYPERLINK("http://www.wantgoo.com/stock/chart.aspx?stockno=5347","5347")</f>
        <v>5347</v>
      </c>
      <c r="C261" s="18">
        <f>VLOOKUP(5347,季財報!A:H,3)</f>
        <v>0</v>
      </c>
      <c r="D261" s="18">
        <f>VLOOKUP(5347,季財報!A:H,4)</f>
        <v>0</v>
      </c>
      <c r="E261" s="18">
        <f>VLOOKUP(5347,季財報!A:H,5)</f>
        <v>0</v>
      </c>
      <c r="F261" s="18">
        <f>VLOOKUP(5347,季財報!A:H,6)</f>
        <v>1</v>
      </c>
      <c r="G261" s="18">
        <f>VLOOKUP(5347,季財報!A:H,7)</f>
        <v>0</v>
      </c>
      <c r="N261" s="20">
        <f t="shared" si="4"/>
        <v>1</v>
      </c>
    </row>
    <row r="262" spans="1:14">
      <c r="A262" s="307" t="str">
        <f>HYPERLINK("http://www.wantgoo.com/stock/chart.aspx?stockno=8081","8081")</f>
        <v>8081</v>
      </c>
      <c r="C262" s="18">
        <f>VLOOKUP(8081,季財報!A:H,3)</f>
        <v>0</v>
      </c>
      <c r="D262" s="18">
        <f>VLOOKUP(8081,季財報!A:H,4)</f>
        <v>1</v>
      </c>
      <c r="E262" s="18">
        <f>VLOOKUP(8081,季財報!A:H,5)</f>
        <v>0</v>
      </c>
      <c r="F262" s="18">
        <f>VLOOKUP(8081,季財報!A:H,6)</f>
        <v>1</v>
      </c>
      <c r="G262" s="18">
        <f>VLOOKUP(8081,季財報!A:H,7)</f>
        <v>0</v>
      </c>
      <c r="N262" s="20">
        <f t="shared" si="4"/>
        <v>2</v>
      </c>
    </row>
    <row r="263" spans="1:14">
      <c r="A263" s="307" t="str">
        <f>HYPERLINK("http://www.wantgoo.com/stock/chart.aspx?stockno=8416","8416")</f>
        <v>8416</v>
      </c>
      <c r="C263" s="18">
        <f>VLOOKUP(8416,季財報!A:H,3)</f>
        <v>0</v>
      </c>
      <c r="D263" s="18">
        <f>VLOOKUP(8416,季財報!A:H,4)</f>
        <v>0</v>
      </c>
      <c r="E263" s="18">
        <f>VLOOKUP(8416,季財報!A:H,5)</f>
        <v>0</v>
      </c>
      <c r="F263" s="18">
        <f>VLOOKUP(8416,季財報!A:H,6)</f>
        <v>1</v>
      </c>
      <c r="G263" s="18">
        <f>VLOOKUP(8416,季財報!A:H,7)</f>
        <v>0</v>
      </c>
      <c r="N263" s="20">
        <f t="shared" si="4"/>
        <v>1</v>
      </c>
    </row>
    <row r="264" spans="1:14">
      <c r="A264" s="307" t="str">
        <f>HYPERLINK("http://www.wantgoo.com/stock/chart.aspx?stockno=2355","2355")</f>
        <v>2355</v>
      </c>
      <c r="C264" s="18">
        <f>VLOOKUP(2355,季財報!A:H,3)</f>
        <v>1</v>
      </c>
      <c r="D264" s="18">
        <f>VLOOKUP(2355,季財報!A:H,4)</f>
        <v>1</v>
      </c>
      <c r="E264" s="18">
        <f>VLOOKUP(2355,季財報!A:H,5)</f>
        <v>0</v>
      </c>
      <c r="F264" s="18">
        <f>VLOOKUP(2355,季財報!A:H,6)</f>
        <v>1</v>
      </c>
      <c r="G264" s="18">
        <f>VLOOKUP(2355,季財報!A:H,7)</f>
        <v>0</v>
      </c>
      <c r="N264" s="20">
        <f t="shared" si="4"/>
        <v>3</v>
      </c>
    </row>
    <row r="265" spans="1:14">
      <c r="A265" s="308" t="str">
        <f>HYPERLINK("http://www.wantgoo.com/stock/chart.aspx?stockno=3130","3130")</f>
        <v>3130</v>
      </c>
      <c r="C265" s="18">
        <f>VLOOKUP(3130,季財報!A:H,3)</f>
        <v>0</v>
      </c>
      <c r="D265" s="18">
        <f>VLOOKUP(3130,季財報!A:H,4)</f>
        <v>0</v>
      </c>
      <c r="E265" s="18">
        <f>VLOOKUP(3130,季財報!A:H,5)</f>
        <v>1</v>
      </c>
      <c r="F265" s="18">
        <f>VLOOKUP(3130,季財報!A:H,6)</f>
        <v>0</v>
      </c>
      <c r="G265" s="18">
        <f>VLOOKUP(3130,季財報!A:H,7)</f>
        <v>1</v>
      </c>
      <c r="N265" s="20">
        <f t="shared" si="4"/>
        <v>2</v>
      </c>
    </row>
    <row r="266" spans="1:14">
      <c r="A266" s="308" t="str">
        <f>HYPERLINK("http://www.wantgoo.com/stock/chart.aspx?stockno=5013","5013")</f>
        <v>5013</v>
      </c>
      <c r="C266" s="18">
        <f>VLOOKUP(5013,季財報!A:H,3)</f>
        <v>0</v>
      </c>
      <c r="D266" s="18">
        <f>VLOOKUP(5013,季財報!A:H,4)</f>
        <v>1</v>
      </c>
      <c r="E266" s="18">
        <f>VLOOKUP(5013,季財報!A:H,5)</f>
        <v>0</v>
      </c>
      <c r="F266" s="18">
        <f>VLOOKUP(5013,季財報!A:H,6)</f>
        <v>1</v>
      </c>
      <c r="G266" s="18">
        <f>VLOOKUP(5013,季財報!A:H,7)</f>
        <v>0</v>
      </c>
      <c r="N266" s="20">
        <f t="shared" si="4"/>
        <v>2</v>
      </c>
    </row>
    <row r="267" spans="1:14">
      <c r="A267" s="308" t="str">
        <f>HYPERLINK("http://www.wantgoo.com/stock/chart.aspx?stockno=6266","6266")</f>
        <v>6266</v>
      </c>
      <c r="C267" s="18">
        <f>VLOOKUP(6266,季財報!A:H,3)</f>
        <v>0</v>
      </c>
      <c r="D267" s="18">
        <f>VLOOKUP(6266,季財報!A:H,4)</f>
        <v>1</v>
      </c>
      <c r="E267" s="18">
        <f>VLOOKUP(6266,季財報!A:H,5)</f>
        <v>2</v>
      </c>
      <c r="F267" s="18">
        <f>VLOOKUP(6266,季財報!A:H,6)</f>
        <v>1</v>
      </c>
      <c r="G267" s="18">
        <f>VLOOKUP(6266,季財報!A:H,7)</f>
        <v>0</v>
      </c>
      <c r="N267" s="20">
        <f t="shared" si="4"/>
        <v>4</v>
      </c>
    </row>
    <row r="268" spans="1:14">
      <c r="A268" s="308" t="str">
        <f>HYPERLINK("http://www.wantgoo.com/stock/chart.aspx?stockno=9930","9930")</f>
        <v>9930</v>
      </c>
      <c r="C268" s="18">
        <f>VLOOKUP(9930,季財報!A:H,3)</f>
        <v>0</v>
      </c>
      <c r="D268" s="18">
        <f>VLOOKUP(9930,季財報!A:H,4)</f>
        <v>1</v>
      </c>
      <c r="E268" s="18">
        <f>VLOOKUP(9930,季財報!A:H,5)</f>
        <v>1</v>
      </c>
      <c r="F268" s="18">
        <f>VLOOKUP(9930,季財報!A:H,6)</f>
        <v>1</v>
      </c>
      <c r="G268" s="18">
        <f>VLOOKUP(9930,季財報!A:H,7)</f>
        <v>0</v>
      </c>
      <c r="N268" s="20">
        <f t="shared" si="4"/>
        <v>3</v>
      </c>
    </row>
    <row r="269" spans="1:14">
      <c r="A269" s="307" t="str">
        <f>HYPERLINK("http://www.wantgoo.com/stock/chart.aspx?stockno=2511","2511")</f>
        <v>2511</v>
      </c>
      <c r="C269" s="18">
        <f>VLOOKUP(2511,季財報!A:H,3)</f>
        <v>0</v>
      </c>
      <c r="D269" s="18">
        <f>VLOOKUP(2511,季財報!A:H,4)</f>
        <v>0</v>
      </c>
      <c r="E269" s="18">
        <f>VLOOKUP(2511,季財報!A:H,5)</f>
        <v>0</v>
      </c>
      <c r="F269" s="18">
        <f>VLOOKUP(2511,季財報!A:H,6)</f>
        <v>0</v>
      </c>
      <c r="G269" s="18">
        <f>VLOOKUP(2511,季財報!A:H,7)</f>
        <v>0</v>
      </c>
      <c r="N269" s="20">
        <f t="shared" si="4"/>
        <v>0</v>
      </c>
    </row>
    <row r="270" spans="1:14">
      <c r="A270" s="307" t="str">
        <f>HYPERLINK("http://www.wantgoo.com/stock/chart.aspx?stockno=4938","4938")</f>
        <v>4938</v>
      </c>
      <c r="C270" s="18">
        <f>VLOOKUP(4938,季財報!A:H,3)</f>
        <v>0</v>
      </c>
      <c r="D270" s="18">
        <f>VLOOKUP(4938,季財報!A:H,4)</f>
        <v>0</v>
      </c>
      <c r="E270" s="18">
        <f>VLOOKUP(4938,季財報!A:H,5)</f>
        <v>1</v>
      </c>
      <c r="F270" s="18">
        <f>VLOOKUP(4938,季財報!A:H,6)</f>
        <v>0</v>
      </c>
      <c r="G270" s="18">
        <f>VLOOKUP(4938,季財報!A:H,7)</f>
        <v>0</v>
      </c>
      <c r="N270" s="20">
        <f t="shared" si="4"/>
        <v>1</v>
      </c>
    </row>
    <row r="271" spans="1:14">
      <c r="A271" s="307" t="str">
        <f>HYPERLINK("http://www.wantgoo.com/stock/chart.aspx?stockno=8427","8427")</f>
        <v>8427</v>
      </c>
      <c r="C271" s="18">
        <f>VLOOKUP(8427,季財報!A:H,3)</f>
        <v>0</v>
      </c>
      <c r="D271" s="18">
        <f>VLOOKUP(8427,季財報!A:H,4)</f>
        <v>1</v>
      </c>
      <c r="E271" s="18">
        <f>VLOOKUP(8427,季財報!A:H,5)</f>
        <v>0</v>
      </c>
      <c r="F271" s="18">
        <f>VLOOKUP(8427,季財報!A:H,6)</f>
        <v>0</v>
      </c>
      <c r="G271" s="18">
        <f>VLOOKUP(8427,季財報!A:H,7)</f>
        <v>0</v>
      </c>
      <c r="N271" s="20">
        <f t="shared" si="4"/>
        <v>1</v>
      </c>
    </row>
    <row r="272" spans="1:14">
      <c r="A272" s="307" t="str">
        <f>HYPERLINK("http://www.wantgoo.com/stock/chart.aspx?stockno=9927","9927")</f>
        <v>9927</v>
      </c>
      <c r="C272" s="18">
        <f>VLOOKUP(9927,季財報!A:H,3)</f>
        <v>0</v>
      </c>
      <c r="D272" s="18">
        <f>VLOOKUP(9927,季財報!A:H,4)</f>
        <v>0</v>
      </c>
      <c r="E272" s="18">
        <f>VLOOKUP(9927,季財報!A:H,5)</f>
        <v>2</v>
      </c>
      <c r="F272" s="18">
        <f>VLOOKUP(9927,季財報!A:H,6)</f>
        <v>1</v>
      </c>
      <c r="G272" s="18">
        <f>VLOOKUP(9927,季財報!A:H,7)</f>
        <v>0</v>
      </c>
      <c r="N272" s="20">
        <f t="shared" si="4"/>
        <v>3</v>
      </c>
    </row>
    <row r="273" spans="1:14">
      <c r="A273" s="307" t="str">
        <f>HYPERLINK("http://www.wantgoo.com/stock/chart.aspx?stockno=5288","5288")</f>
        <v>5288</v>
      </c>
      <c r="C273" s="18">
        <f>VLOOKUP(5288,季財報!A:H,3)</f>
        <v>1</v>
      </c>
      <c r="D273" s="18">
        <f>VLOOKUP(5288,季財報!A:H,4)</f>
        <v>1</v>
      </c>
      <c r="E273" s="18">
        <f>VLOOKUP(5288,季財報!A:H,5)</f>
        <v>1</v>
      </c>
      <c r="F273" s="18">
        <f>VLOOKUP(5288,季財報!A:H,6)</f>
        <v>1</v>
      </c>
      <c r="G273" s="18">
        <f>VLOOKUP(5288,季財報!A:H,7)</f>
        <v>0</v>
      </c>
      <c r="N273" s="20">
        <f t="shared" si="4"/>
        <v>4</v>
      </c>
    </row>
    <row r="274" spans="1:14">
      <c r="A274" s="307" t="str">
        <f>HYPERLINK("http://www.wantgoo.com/stock/chart.aspx?stockno=1530","1530")</f>
        <v>1530</v>
      </c>
      <c r="C274" s="18">
        <f>VLOOKUP(1530,季財報!A:H,3)</f>
        <v>1</v>
      </c>
      <c r="D274" s="18">
        <f>VLOOKUP(1530,季財報!A:H,4)</f>
        <v>1</v>
      </c>
      <c r="E274" s="18">
        <f>VLOOKUP(1530,季財報!A:H,5)</f>
        <v>0</v>
      </c>
      <c r="F274" s="18">
        <f>VLOOKUP(1530,季財報!A:H,6)</f>
        <v>0</v>
      </c>
      <c r="G274" s="18">
        <f>VLOOKUP(1530,季財報!A:H,7)</f>
        <v>0</v>
      </c>
      <c r="N274" s="20">
        <f t="shared" si="4"/>
        <v>2</v>
      </c>
    </row>
    <row r="275" spans="1:14">
      <c r="A275" s="307" t="str">
        <f>HYPERLINK("http://www.wantgoo.com/stock/chart.aspx?stockno=6294","6294")</f>
        <v>6294</v>
      </c>
      <c r="C275" s="18">
        <f>VLOOKUP(6294,季財報!A:H,3)</f>
        <v>0</v>
      </c>
      <c r="D275" s="18">
        <f>VLOOKUP(6294,季財報!A:H,4)</f>
        <v>1</v>
      </c>
      <c r="E275" s="18">
        <f>VLOOKUP(6294,季財報!A:H,5)</f>
        <v>0</v>
      </c>
      <c r="F275" s="18">
        <f>VLOOKUP(6294,季財報!A:H,6)</f>
        <v>1</v>
      </c>
      <c r="G275" s="18">
        <f>VLOOKUP(6294,季財報!A:H,7)</f>
        <v>0</v>
      </c>
      <c r="N275" s="20">
        <f t="shared" si="4"/>
        <v>2</v>
      </c>
    </row>
    <row r="276" spans="1:14">
      <c r="A276" s="307" t="str">
        <f>HYPERLINK("http://www.wantgoo.com/stock/chart.aspx?stockno=6605","6605")</f>
        <v>6605</v>
      </c>
      <c r="C276" s="18">
        <f>VLOOKUP(6605,季財報!A:H,3)</f>
        <v>1</v>
      </c>
      <c r="D276" s="18">
        <f>VLOOKUP(6605,季財報!A:H,4)</f>
        <v>1</v>
      </c>
      <c r="E276" s="18">
        <f>VLOOKUP(6605,季財報!A:H,5)</f>
        <v>1</v>
      </c>
      <c r="F276" s="18">
        <f>VLOOKUP(6605,季財報!A:H,6)</f>
        <v>1</v>
      </c>
      <c r="G276" s="18">
        <f>VLOOKUP(6605,季財報!A:H,7)</f>
        <v>0</v>
      </c>
      <c r="N276" s="20">
        <f t="shared" si="4"/>
        <v>4</v>
      </c>
    </row>
    <row r="277" spans="1:14">
      <c r="A277" s="308" t="str">
        <f>HYPERLINK("http://www.wantgoo.com/stock/chart.aspx?stockno=6234","6234")</f>
        <v>6234</v>
      </c>
      <c r="C277" s="18">
        <f>VLOOKUP(6234,季財報!A:H,3)</f>
        <v>0</v>
      </c>
      <c r="D277" s="18">
        <f>VLOOKUP(6234,季財報!A:H,4)</f>
        <v>0</v>
      </c>
      <c r="E277" s="18">
        <f>VLOOKUP(6234,季財報!A:H,5)</f>
        <v>0</v>
      </c>
      <c r="F277" s="18">
        <f>VLOOKUP(6234,季財報!A:H,6)</f>
        <v>0</v>
      </c>
      <c r="G277" s="18">
        <f>VLOOKUP(6234,季財報!A:H,7)</f>
        <v>1</v>
      </c>
      <c r="N277" s="20">
        <f t="shared" si="4"/>
        <v>1</v>
      </c>
    </row>
    <row r="278" spans="1:14">
      <c r="A278" s="308" t="str">
        <f>HYPERLINK("http://www.wantgoo.com/stock/chart.aspx?stockno=1817","1817")</f>
        <v>1817</v>
      </c>
      <c r="C278" s="18">
        <f>VLOOKUP(1817,季財報!A:H,3)</f>
        <v>1</v>
      </c>
      <c r="D278" s="18">
        <f>VLOOKUP(1817,季財報!A:H,4)</f>
        <v>1</v>
      </c>
      <c r="E278" s="18">
        <f>VLOOKUP(1817,季財報!A:H,5)</f>
        <v>0</v>
      </c>
      <c r="F278" s="18">
        <f>VLOOKUP(1817,季財報!A:H,6)</f>
        <v>1</v>
      </c>
      <c r="G278" s="18">
        <f>VLOOKUP(1817,季財報!A:H,7)</f>
        <v>0</v>
      </c>
      <c r="N278" s="20">
        <f t="shared" si="4"/>
        <v>3</v>
      </c>
    </row>
    <row r="279" spans="1:14">
      <c r="A279" s="308" t="str">
        <f>HYPERLINK("http://www.wantgoo.com/stock/chart.aspx?stockno=6203","6203")</f>
        <v>6203</v>
      </c>
      <c r="C279" s="18">
        <f>VLOOKUP(6203,季財報!A:H,3)</f>
        <v>1</v>
      </c>
      <c r="D279" s="18">
        <f>VLOOKUP(6203,季財報!A:H,4)</f>
        <v>1</v>
      </c>
      <c r="E279" s="18">
        <f>VLOOKUP(6203,季財報!A:H,5)</f>
        <v>2</v>
      </c>
      <c r="F279" s="18">
        <f>VLOOKUP(6203,季財報!A:H,6)</f>
        <v>1</v>
      </c>
      <c r="G279" s="18">
        <f>VLOOKUP(6203,季財報!A:H,7)</f>
        <v>0</v>
      </c>
      <c r="N279" s="20">
        <f t="shared" si="4"/>
        <v>5</v>
      </c>
    </row>
    <row r="280" spans="1:14">
      <c r="A280" s="308" t="str">
        <f>HYPERLINK("http://www.wantgoo.com/stock/chart.aspx?stockno=8213","8213")</f>
        <v>8213</v>
      </c>
      <c r="C280" s="18">
        <f>VLOOKUP(8213,季財報!A:H,3)</f>
        <v>0</v>
      </c>
      <c r="D280" s="18">
        <f>VLOOKUP(8213,季財報!A:H,4)</f>
        <v>1</v>
      </c>
      <c r="E280" s="18">
        <f>VLOOKUP(8213,季財報!A:H,5)</f>
        <v>2</v>
      </c>
      <c r="F280" s="18">
        <f>VLOOKUP(8213,季財報!A:H,6)</f>
        <v>0</v>
      </c>
      <c r="G280" s="18">
        <f>VLOOKUP(8213,季財報!A:H,7)</f>
        <v>0</v>
      </c>
      <c r="N280" s="20">
        <f t="shared" si="4"/>
        <v>3</v>
      </c>
    </row>
    <row r="281" spans="1:14">
      <c r="A281" s="308" t="str">
        <f>HYPERLINK("http://www.wantgoo.com/stock/chart.aspx?stockno=2329","2329")</f>
        <v>2329</v>
      </c>
      <c r="C281" s="18">
        <f>VLOOKUP(2329,季財報!A:H,3)</f>
        <v>0</v>
      </c>
      <c r="D281" s="18">
        <f>VLOOKUP(2329,季財報!A:H,4)</f>
        <v>0</v>
      </c>
      <c r="E281" s="18">
        <f>VLOOKUP(2329,季財報!A:H,5)</f>
        <v>0</v>
      </c>
      <c r="F281" s="18">
        <f>VLOOKUP(2329,季財報!A:H,6)</f>
        <v>1</v>
      </c>
      <c r="G281" s="18">
        <f>VLOOKUP(2329,季財報!A:H,7)</f>
        <v>1</v>
      </c>
      <c r="N281" s="20">
        <f t="shared" si="4"/>
        <v>2</v>
      </c>
    </row>
    <row r="282" spans="1:14">
      <c r="A282" s="308" t="str">
        <f>HYPERLINK("http://www.wantgoo.com/stock/chart.aspx?stockno=8155","8155")</f>
        <v>8155</v>
      </c>
      <c r="C282" s="18">
        <f>VLOOKUP(8155,季財報!A:H,3)</f>
        <v>0</v>
      </c>
      <c r="D282" s="18">
        <f>VLOOKUP(8155,季財報!A:H,4)</f>
        <v>1</v>
      </c>
      <c r="E282" s="18">
        <f>VLOOKUP(8155,季財報!A:H,5)</f>
        <v>1</v>
      </c>
      <c r="F282" s="18">
        <f>VLOOKUP(8155,季財報!A:H,6)</f>
        <v>1</v>
      </c>
      <c r="G282" s="18">
        <f>VLOOKUP(8155,季財報!A:H,7)</f>
        <v>0</v>
      </c>
      <c r="N282" s="20">
        <f t="shared" si="4"/>
        <v>3</v>
      </c>
    </row>
    <row r="283" spans="1:14">
      <c r="A283" s="307" t="str">
        <f>HYPERLINK("http://www.wantgoo.com/stock/chart.aspx?stockno=8091","8091")</f>
        <v>8091</v>
      </c>
      <c r="C283" s="18">
        <f>VLOOKUP(8091,季財報!A:H,3)</f>
        <v>0</v>
      </c>
      <c r="D283" s="18">
        <f>VLOOKUP(8091,季財報!A:H,4)</f>
        <v>0</v>
      </c>
      <c r="E283" s="18">
        <f>VLOOKUP(8091,季財報!A:H,5)</f>
        <v>1</v>
      </c>
      <c r="F283" s="18">
        <f>VLOOKUP(8091,季財報!A:H,6)</f>
        <v>0</v>
      </c>
      <c r="G283" s="18">
        <f>VLOOKUP(8091,季財報!A:H,7)</f>
        <v>0</v>
      </c>
      <c r="N283" s="20">
        <f t="shared" si="4"/>
        <v>1</v>
      </c>
    </row>
    <row r="284" spans="1:14">
      <c r="A284" s="308" t="str">
        <f>HYPERLINK("http://www.wantgoo.com/stock/chart.aspx?stockno=3029","3029")</f>
        <v>3029</v>
      </c>
      <c r="C284" s="18">
        <f>VLOOKUP(3029,季財報!A:H,3)</f>
        <v>0</v>
      </c>
      <c r="D284" s="18">
        <f>VLOOKUP(3029,季財報!A:H,4)</f>
        <v>1</v>
      </c>
      <c r="E284" s="18">
        <f>VLOOKUP(3029,季財報!A:H,5)</f>
        <v>1</v>
      </c>
      <c r="F284" s="18">
        <f>VLOOKUP(3029,季財報!A:H,6)</f>
        <v>0</v>
      </c>
      <c r="G284" s="18">
        <f>VLOOKUP(3029,季財報!A:H,7)</f>
        <v>0</v>
      </c>
      <c r="N284" s="20">
        <f t="shared" si="4"/>
        <v>2</v>
      </c>
    </row>
    <row r="285" spans="1:14">
      <c r="A285" s="307" t="str">
        <f>HYPERLINK("http://www.wantgoo.com/stock/chart.aspx?stockno=9905","9905")</f>
        <v>9905</v>
      </c>
      <c r="C285" s="18">
        <f>VLOOKUP(9905,季財報!A:H,3)</f>
        <v>0</v>
      </c>
      <c r="D285" s="18">
        <f>VLOOKUP(9905,季財報!A:H,4)</f>
        <v>0</v>
      </c>
      <c r="E285" s="18">
        <f>VLOOKUP(9905,季財報!A:H,5)</f>
        <v>0</v>
      </c>
      <c r="F285" s="18">
        <f>VLOOKUP(9905,季財報!A:H,6)</f>
        <v>0</v>
      </c>
      <c r="G285" s="18">
        <f>VLOOKUP(9905,季財報!A:H,7)</f>
        <v>0</v>
      </c>
      <c r="N285" s="20">
        <f t="shared" si="4"/>
        <v>0</v>
      </c>
    </row>
    <row r="286" spans="1:14">
      <c r="A286" s="308" t="str">
        <f>HYPERLINK("http://www.wantgoo.com/stock/chart.aspx?stockno=4733","4733")</f>
        <v>4733</v>
      </c>
      <c r="C286" s="18">
        <f>VLOOKUP(4733,季財報!A:H,3)</f>
        <v>1</v>
      </c>
      <c r="D286" s="18">
        <f>VLOOKUP(4733,季財報!A:H,4)</f>
        <v>1</v>
      </c>
      <c r="E286" s="18">
        <f>VLOOKUP(4733,季財報!A:H,5)</f>
        <v>0</v>
      </c>
      <c r="F286" s="18">
        <f>VLOOKUP(4733,季財報!A:H,6)</f>
        <v>0</v>
      </c>
      <c r="G286" s="18">
        <f>VLOOKUP(4733,季財報!A:H,7)</f>
        <v>0</v>
      </c>
      <c r="N286" s="20">
        <f t="shared" si="4"/>
        <v>2</v>
      </c>
    </row>
    <row r="287" spans="1:14">
      <c r="A287" s="307" t="str">
        <f>HYPERLINK("http://www.wantgoo.com/stock/chart.aspx?stockno=5312","5312")</f>
        <v>5312</v>
      </c>
      <c r="C287" s="18">
        <f>VLOOKUP(5312,季財報!A:H,3)</f>
        <v>1</v>
      </c>
      <c r="D287" s="18">
        <f>VLOOKUP(5312,季財報!A:H,4)</f>
        <v>1</v>
      </c>
      <c r="E287" s="18">
        <f>VLOOKUP(5312,季財報!A:H,5)</f>
        <v>0</v>
      </c>
      <c r="F287" s="18">
        <f>VLOOKUP(5312,季財報!A:H,6)</f>
        <v>1</v>
      </c>
      <c r="G287" s="18">
        <f>VLOOKUP(5312,季財報!A:H,7)</f>
        <v>1</v>
      </c>
      <c r="N287" s="20">
        <f t="shared" si="4"/>
        <v>4</v>
      </c>
    </row>
    <row r="288" spans="1:14">
      <c r="A288" s="307" t="str">
        <f>HYPERLINK("http://www.wantgoo.com/stock/chart.aspx?stockno=6156","6156")</f>
        <v>6156</v>
      </c>
      <c r="C288" s="18">
        <f>VLOOKUP(6156,季財報!A:H,3)</f>
        <v>1</v>
      </c>
      <c r="D288" s="18">
        <f>VLOOKUP(6156,季財報!A:H,4)</f>
        <v>1</v>
      </c>
      <c r="E288" s="18">
        <f>VLOOKUP(6156,季財報!A:H,5)</f>
        <v>0</v>
      </c>
      <c r="F288" s="18">
        <f>VLOOKUP(6156,季財報!A:H,6)</f>
        <v>0</v>
      </c>
      <c r="G288" s="18">
        <f>VLOOKUP(6156,季財報!A:H,7)</f>
        <v>0</v>
      </c>
      <c r="N288" s="20">
        <f t="shared" si="4"/>
        <v>2</v>
      </c>
    </row>
    <row r="289" spans="1:19">
      <c r="A289" s="307" t="str">
        <f>HYPERLINK("http://www.wantgoo.com/stock/chart.aspx?stockno=3675","3675")</f>
        <v>3675</v>
      </c>
      <c r="C289" s="18">
        <f>VLOOKUP(3675,季財報!A:H,3)</f>
        <v>1</v>
      </c>
      <c r="D289" s="18">
        <f>VLOOKUP(3675,季財報!A:H,4)</f>
        <v>1</v>
      </c>
      <c r="E289" s="18">
        <f>VLOOKUP(3675,季財報!A:H,5)</f>
        <v>1</v>
      </c>
      <c r="F289" s="18">
        <f>VLOOKUP(3675,季財報!A:H,6)</f>
        <v>1</v>
      </c>
      <c r="G289" s="18">
        <f>VLOOKUP(3675,季財報!A:H,7)</f>
        <v>0</v>
      </c>
      <c r="N289" s="20">
        <f t="shared" si="4"/>
        <v>4</v>
      </c>
    </row>
    <row r="290" spans="1:19">
      <c r="A290" s="308" t="str">
        <f>HYPERLINK("http://www.wantgoo.com/stock/chart.aspx?stockno=2327","2327")</f>
        <v>2327</v>
      </c>
      <c r="C290" s="18">
        <f>VLOOKUP(2327,季財報!A:H,3)</f>
        <v>1</v>
      </c>
      <c r="D290" s="18">
        <f>VLOOKUP(2327,季財報!A:H,4)</f>
        <v>1</v>
      </c>
      <c r="E290" s="18">
        <f>VLOOKUP(2327,季財報!A:H,5)</f>
        <v>0</v>
      </c>
      <c r="F290" s="18">
        <f>VLOOKUP(2327,季財報!A:H,6)</f>
        <v>1</v>
      </c>
      <c r="G290" s="18">
        <f>VLOOKUP(2327,季財報!A:H,7)</f>
        <v>0</v>
      </c>
      <c r="N290" s="20">
        <f t="shared" si="4"/>
        <v>3</v>
      </c>
    </row>
    <row r="291" spans="1:19" s="317" customFormat="1">
      <c r="A291" s="309" t="str">
        <f>HYPERLINK("http://www.wantgoo.com/stock/chart.aspx?stockno=4935","4935")</f>
        <v>4935</v>
      </c>
      <c r="B291" s="310"/>
      <c r="C291" s="311">
        <f>VLOOKUP(4935,季財報!A:H,3)</f>
        <v>1</v>
      </c>
      <c r="D291" s="311">
        <f>VLOOKUP(4935,季財報!A:H,4)</f>
        <v>1</v>
      </c>
      <c r="E291" s="311">
        <f>VLOOKUP(4935,季財報!A:H,5)</f>
        <v>2</v>
      </c>
      <c r="F291" s="311">
        <f>VLOOKUP(4935,季財報!A:H,6)</f>
        <v>1</v>
      </c>
      <c r="G291" s="311">
        <f>VLOOKUP(4935,季財報!A:H,7)</f>
        <v>1</v>
      </c>
      <c r="H291" s="312"/>
      <c r="I291" s="312"/>
      <c r="J291" s="312"/>
      <c r="K291" s="312"/>
      <c r="L291" s="312"/>
      <c r="M291" s="313"/>
      <c r="N291" s="312">
        <f t="shared" si="4"/>
        <v>6</v>
      </c>
      <c r="O291" s="314"/>
      <c r="P291" s="314"/>
      <c r="Q291" s="314"/>
      <c r="R291" s="314"/>
      <c r="S291" s="315"/>
    </row>
    <row r="292" spans="1:19">
      <c r="A292" s="308" t="str">
        <f>HYPERLINK("http://www.wantgoo.com/stock/chart.aspx?stockno=8039","8039")</f>
        <v>8039</v>
      </c>
      <c r="C292" s="18">
        <f>VLOOKUP(8039,季財報!A:H,3)</f>
        <v>1</v>
      </c>
      <c r="D292" s="18">
        <f>VLOOKUP(8039,季財報!A:H,4)</f>
        <v>1</v>
      </c>
      <c r="E292" s="18">
        <f>VLOOKUP(8039,季財報!A:H,5)</f>
        <v>2</v>
      </c>
      <c r="F292" s="18">
        <f>VLOOKUP(8039,季財報!A:H,6)</f>
        <v>0</v>
      </c>
      <c r="G292" s="18">
        <f>VLOOKUP(8039,季財報!A:H,7)</f>
        <v>1</v>
      </c>
      <c r="N292" s="20">
        <f t="shared" si="4"/>
        <v>5</v>
      </c>
    </row>
    <row r="293" spans="1:19">
      <c r="A293" s="308" t="str">
        <f>HYPERLINK("http://www.wantgoo.com/stock/chart.aspx?stockno=9942","9942")</f>
        <v>9942</v>
      </c>
      <c r="C293" s="18">
        <f>VLOOKUP(9942,季財報!A:H,3)</f>
        <v>0</v>
      </c>
      <c r="D293" s="18">
        <f>VLOOKUP(9942,季財報!A:H,4)</f>
        <v>1</v>
      </c>
      <c r="E293" s="18">
        <f>VLOOKUP(9942,季財報!A:H,5)</f>
        <v>0</v>
      </c>
      <c r="F293" s="18">
        <f>VLOOKUP(9942,季財報!A:H,6)</f>
        <v>1</v>
      </c>
      <c r="G293" s="18">
        <f>VLOOKUP(9942,季財報!A:H,7)</f>
        <v>0</v>
      </c>
      <c r="N293" s="20">
        <f t="shared" si="4"/>
        <v>2</v>
      </c>
    </row>
    <row r="294" spans="1:19">
      <c r="A294" s="307" t="str">
        <f>HYPERLINK("http://www.wantgoo.com/stock/chart.aspx?stockno=1513","1513")</f>
        <v>1513</v>
      </c>
      <c r="C294" s="18">
        <f>VLOOKUP(1513,季財報!A:H,3)</f>
        <v>1</v>
      </c>
      <c r="D294" s="18">
        <f>VLOOKUP(1513,季財報!A:H,4)</f>
        <v>1</v>
      </c>
      <c r="E294" s="18">
        <f>VLOOKUP(1513,季財報!A:H,5)</f>
        <v>0</v>
      </c>
      <c r="F294" s="18">
        <f>VLOOKUP(1513,季財報!A:H,6)</f>
        <v>0</v>
      </c>
      <c r="G294" s="18">
        <f>VLOOKUP(1513,季財報!A:H,7)</f>
        <v>0</v>
      </c>
      <c r="N294" s="20">
        <f t="shared" si="4"/>
        <v>2</v>
      </c>
    </row>
    <row r="295" spans="1:19" s="317" customFormat="1">
      <c r="A295" s="309" t="str">
        <f>HYPERLINK("http://www.wantgoo.com/stock/chart.aspx?stockno=3234","3234")</f>
        <v>3234</v>
      </c>
      <c r="B295" s="310"/>
      <c r="C295" s="311">
        <f>VLOOKUP(3234,季財報!A:H,3)</f>
        <v>1</v>
      </c>
      <c r="D295" s="311">
        <f>VLOOKUP(3234,季財報!A:H,4)</f>
        <v>1</v>
      </c>
      <c r="E295" s="311">
        <f>VLOOKUP(3234,季財報!A:H,5)</f>
        <v>2</v>
      </c>
      <c r="F295" s="311">
        <f>VLOOKUP(3234,季財報!A:H,6)</f>
        <v>1</v>
      </c>
      <c r="G295" s="311">
        <f>VLOOKUP(3234,季財報!A:H,7)</f>
        <v>1</v>
      </c>
      <c r="H295" s="312"/>
      <c r="I295" s="312"/>
      <c r="J295" s="312"/>
      <c r="K295" s="312"/>
      <c r="L295" s="312"/>
      <c r="M295" s="313"/>
      <c r="N295" s="312">
        <f t="shared" si="4"/>
        <v>6</v>
      </c>
      <c r="O295" s="314"/>
      <c r="P295" s="314"/>
      <c r="Q295" s="314"/>
      <c r="R295" s="314"/>
      <c r="S295" s="315"/>
    </row>
    <row r="296" spans="1:19" s="317" customFormat="1">
      <c r="A296" s="309" t="str">
        <f>HYPERLINK("http://www.wantgoo.com/stock/chart.aspx?stockno=8422","8422")</f>
        <v>8422</v>
      </c>
      <c r="B296" s="310"/>
      <c r="C296" s="311">
        <f>VLOOKUP(8422,季財報!A:H,3)</f>
        <v>1</v>
      </c>
      <c r="D296" s="311">
        <f>VLOOKUP(8422,季財報!A:H,4)</f>
        <v>1</v>
      </c>
      <c r="E296" s="311">
        <f>VLOOKUP(8422,季財報!A:H,5)</f>
        <v>2</v>
      </c>
      <c r="F296" s="311">
        <f>VLOOKUP(8422,季財報!A:H,6)</f>
        <v>1</v>
      </c>
      <c r="G296" s="311">
        <f>VLOOKUP(8422,季財報!A:H,7)</f>
        <v>0</v>
      </c>
      <c r="H296" s="312"/>
      <c r="I296" s="312"/>
      <c r="J296" s="312"/>
      <c r="K296" s="312"/>
      <c r="L296" s="312"/>
      <c r="M296" s="313"/>
      <c r="N296" s="312">
        <f t="shared" si="4"/>
        <v>5</v>
      </c>
      <c r="O296" s="314"/>
      <c r="P296" s="314"/>
      <c r="Q296" s="314"/>
      <c r="R296" s="314"/>
      <c r="S296" s="315"/>
    </row>
    <row r="297" spans="1:19">
      <c r="A297" s="307" t="str">
        <f>HYPERLINK("http://www.wantgoo.com/stock/chart.aspx?stockno=4126","4126")</f>
        <v>4126</v>
      </c>
      <c r="C297" s="18">
        <f>VLOOKUP(4126,季財報!A:H,3)</f>
        <v>1</v>
      </c>
      <c r="D297" s="18">
        <f>VLOOKUP(4126,季財報!A:H,4)</f>
        <v>1</v>
      </c>
      <c r="E297" s="18">
        <f>VLOOKUP(4126,季財報!A:H,5)</f>
        <v>1</v>
      </c>
      <c r="F297" s="18">
        <f>VLOOKUP(4126,季財報!A:H,6)</f>
        <v>1</v>
      </c>
      <c r="G297" s="18">
        <f>VLOOKUP(4126,季財報!A:H,7)</f>
        <v>0</v>
      </c>
      <c r="N297" s="20">
        <f t="shared" si="4"/>
        <v>4</v>
      </c>
    </row>
    <row r="298" spans="1:19">
      <c r="A298" s="308" t="str">
        <f>HYPERLINK("http://www.wantgoo.com/stock/chart.aspx?stockno=1603","1603")</f>
        <v>1603</v>
      </c>
      <c r="C298" s="18">
        <f>VLOOKUP(1603,季財報!A:H,3)</f>
        <v>0</v>
      </c>
      <c r="D298" s="18">
        <f>VLOOKUP(1603,季財報!A:H,4)</f>
        <v>1</v>
      </c>
      <c r="E298" s="18">
        <f>VLOOKUP(1603,季財報!A:H,5)</f>
        <v>0</v>
      </c>
      <c r="F298" s="18">
        <f>VLOOKUP(1603,季財報!A:H,6)</f>
        <v>0</v>
      </c>
      <c r="G298" s="18">
        <f>VLOOKUP(1603,季財報!A:H,7)</f>
        <v>0</v>
      </c>
      <c r="N298" s="20">
        <f t="shared" si="4"/>
        <v>1</v>
      </c>
    </row>
    <row r="299" spans="1:19">
      <c r="A299" s="307" t="str">
        <f>HYPERLINK("http://www.wantgoo.com/stock/chart.aspx?stockno=8403","8403")</f>
        <v>8403</v>
      </c>
      <c r="C299" s="18">
        <f>VLOOKUP(8403,季財報!A:H,3)</f>
        <v>0</v>
      </c>
      <c r="D299" s="18">
        <f>VLOOKUP(8403,季財報!A:H,4)</f>
        <v>1</v>
      </c>
      <c r="E299" s="18">
        <f>VLOOKUP(8403,季財報!A:H,5)</f>
        <v>0</v>
      </c>
      <c r="F299" s="18">
        <f>VLOOKUP(8403,季財報!A:H,6)</f>
        <v>0</v>
      </c>
      <c r="G299" s="18">
        <f>VLOOKUP(8403,季財報!A:H,7)</f>
        <v>0</v>
      </c>
      <c r="N299" s="20">
        <f t="shared" si="4"/>
        <v>1</v>
      </c>
    </row>
    <row r="300" spans="1:19">
      <c r="A300" s="308" t="str">
        <f>HYPERLINK("http://www.wantgoo.com/stock/chart.aspx?stockno=2115","2115")</f>
        <v>2115</v>
      </c>
      <c r="C300" s="18">
        <f>VLOOKUP(2115,季財報!A:H,3)</f>
        <v>1</v>
      </c>
      <c r="D300" s="18">
        <f>VLOOKUP(2115,季財報!A:H,4)</f>
        <v>1</v>
      </c>
      <c r="E300" s="18">
        <f>VLOOKUP(2115,季財報!A:H,5)</f>
        <v>0</v>
      </c>
      <c r="F300" s="18">
        <f>VLOOKUP(2115,季財報!A:H,6)</f>
        <v>1</v>
      </c>
      <c r="G300" s="18">
        <f>VLOOKUP(2115,季財報!A:H,7)</f>
        <v>0</v>
      </c>
      <c r="N300" s="20">
        <f t="shared" si="4"/>
        <v>3</v>
      </c>
    </row>
    <row r="301" spans="1:19" s="317" customFormat="1">
      <c r="A301" s="309" t="str">
        <f>HYPERLINK("http://www.wantgoo.com/stock/chart.aspx?stockno=2397","2397")</f>
        <v>2397</v>
      </c>
      <c r="B301" s="310"/>
      <c r="C301" s="311">
        <f>VLOOKUP(2397,季財報!A:H,3)</f>
        <v>1</v>
      </c>
      <c r="D301" s="311">
        <f>VLOOKUP(2397,季財報!A:H,4)</f>
        <v>1</v>
      </c>
      <c r="E301" s="311">
        <f>VLOOKUP(2397,季財報!A:H,5)</f>
        <v>0</v>
      </c>
      <c r="F301" s="311">
        <f>VLOOKUP(2397,季財報!A:H,6)</f>
        <v>1</v>
      </c>
      <c r="G301" s="311">
        <f>VLOOKUP(2397,季財報!A:H,7)</f>
        <v>0</v>
      </c>
      <c r="H301" s="312"/>
      <c r="I301" s="312"/>
      <c r="J301" s="312"/>
      <c r="K301" s="312"/>
      <c r="L301" s="312"/>
      <c r="M301" s="313"/>
      <c r="N301" s="312">
        <f t="shared" si="4"/>
        <v>3</v>
      </c>
      <c r="O301" s="314"/>
      <c r="P301" s="314"/>
      <c r="Q301" s="314"/>
      <c r="R301" s="314"/>
      <c r="S301" s="315"/>
    </row>
    <row r="302" spans="1:19">
      <c r="A302" s="307" t="str">
        <f>HYPERLINK("http://www.wantgoo.com/stock/chart.aspx?stockno=9914","9914")</f>
        <v>9914</v>
      </c>
      <c r="C302" s="18">
        <f>VLOOKUP(9914,季財報!A:H,3)</f>
        <v>1</v>
      </c>
      <c r="D302" s="18">
        <f>VLOOKUP(9914,季財報!A:H,4)</f>
        <v>1</v>
      </c>
      <c r="E302" s="18">
        <f>VLOOKUP(9914,季財報!A:H,5)</f>
        <v>1</v>
      </c>
      <c r="F302" s="18">
        <f>VLOOKUP(9914,季財報!A:H,6)</f>
        <v>1</v>
      </c>
      <c r="G302" s="18">
        <f>VLOOKUP(9914,季財報!A:H,7)</f>
        <v>0</v>
      </c>
      <c r="N302" s="20">
        <f t="shared" si="4"/>
        <v>4</v>
      </c>
    </row>
    <row r="303" spans="1:19">
      <c r="A303" s="307" t="str">
        <f>HYPERLINK("http://www.wantgoo.com/stock/chart.aspx?stockno=4144","4144")</f>
        <v>4144</v>
      </c>
      <c r="C303" s="18">
        <f>VLOOKUP(4144,季財報!A:H,3)</f>
        <v>0</v>
      </c>
      <c r="D303" s="18">
        <f>VLOOKUP(4144,季財報!A:H,4)</f>
        <v>0</v>
      </c>
      <c r="E303" s="18">
        <f>VLOOKUP(4144,季財報!A:H,5)</f>
        <v>2</v>
      </c>
      <c r="F303" s="18">
        <f>VLOOKUP(4144,季財報!A:H,6)</f>
        <v>1</v>
      </c>
      <c r="G303" s="18">
        <f>VLOOKUP(4144,季財報!A:H,7)</f>
        <v>0</v>
      </c>
      <c r="N303" s="20">
        <f t="shared" si="4"/>
        <v>3</v>
      </c>
    </row>
    <row r="304" spans="1:19">
      <c r="A304" s="307" t="str">
        <f>HYPERLINK("http://www.wantgoo.com/stock/chart.aspx?stockno=4510","4510")</f>
        <v>4510</v>
      </c>
      <c r="C304" s="18">
        <f>VLOOKUP(4510,季財報!A:H,3)</f>
        <v>1</v>
      </c>
      <c r="D304" s="18">
        <f>VLOOKUP(4510,季財報!A:H,4)</f>
        <v>1</v>
      </c>
      <c r="E304" s="18">
        <f>VLOOKUP(4510,季財報!A:H,5)</f>
        <v>0</v>
      </c>
      <c r="F304" s="18">
        <f>VLOOKUP(4510,季財報!A:H,6)</f>
        <v>0</v>
      </c>
      <c r="G304" s="18">
        <f>VLOOKUP(4510,季財報!A:H,7)</f>
        <v>0</v>
      </c>
      <c r="N304" s="20">
        <f t="shared" si="4"/>
        <v>2</v>
      </c>
    </row>
    <row r="305" spans="1:14">
      <c r="A305" s="308" t="str">
        <f>HYPERLINK("http://www.wantgoo.com/stock/chart.aspx?stockno=3105","3105")</f>
        <v>3105</v>
      </c>
      <c r="C305" s="18">
        <f>VLOOKUP(3105,季財報!A:H,3)</f>
        <v>1</v>
      </c>
      <c r="D305" s="18">
        <f>VLOOKUP(3105,季財報!A:H,4)</f>
        <v>1</v>
      </c>
      <c r="E305" s="18">
        <f>VLOOKUP(3105,季財報!A:H,5)</f>
        <v>0</v>
      </c>
      <c r="F305" s="18">
        <f>VLOOKUP(3105,季財報!A:H,6)</f>
        <v>1</v>
      </c>
      <c r="G305" s="18">
        <f>VLOOKUP(3105,季財報!A:H,7)</f>
        <v>1</v>
      </c>
      <c r="N305" s="20">
        <f t="shared" si="4"/>
        <v>4</v>
      </c>
    </row>
    <row r="306" spans="1:14">
      <c r="A306" s="308" t="str">
        <f>HYPERLINK("http://www.wantgoo.com/stock/chart.aspx?stockno=3376","3376")</f>
        <v>3376</v>
      </c>
      <c r="C306" s="18">
        <f>VLOOKUP(3376,季財報!A:H,3)</f>
        <v>1</v>
      </c>
      <c r="D306" s="18">
        <f>VLOOKUP(3376,季財報!A:H,4)</f>
        <v>1</v>
      </c>
      <c r="E306" s="18">
        <f>VLOOKUP(3376,季財報!A:H,5)</f>
        <v>0</v>
      </c>
      <c r="F306" s="18">
        <f>VLOOKUP(3376,季財報!A:H,6)</f>
        <v>1</v>
      </c>
      <c r="G306" s="18">
        <f>VLOOKUP(3376,季財報!A:H,7)</f>
        <v>0</v>
      </c>
      <c r="N306" s="20">
        <f t="shared" si="4"/>
        <v>3</v>
      </c>
    </row>
    <row r="307" spans="1:14">
      <c r="A307" s="307" t="str">
        <f>HYPERLINK("http://www.wantgoo.com/stock/chart.aspx?stockno=3689","3689")</f>
        <v>3689</v>
      </c>
      <c r="C307" s="18">
        <f>VLOOKUP(3689,季財報!A:H,3)</f>
        <v>0</v>
      </c>
      <c r="D307" s="18">
        <f>VLOOKUP(3689,季財報!A:H,4)</f>
        <v>0</v>
      </c>
      <c r="E307" s="18">
        <f>VLOOKUP(3689,季財報!A:H,5)</f>
        <v>1</v>
      </c>
      <c r="F307" s="18">
        <f>VLOOKUP(3689,季財報!A:H,6)</f>
        <v>0</v>
      </c>
      <c r="G307" s="18">
        <f>VLOOKUP(3689,季財報!A:H,7)</f>
        <v>0</v>
      </c>
      <c r="N307" s="20">
        <f t="shared" si="4"/>
        <v>1</v>
      </c>
    </row>
    <row r="308" spans="1:14">
      <c r="A308" s="307" t="str">
        <f>HYPERLINK("http://www.wantgoo.com/stock/chart.aspx?stockno=6271","6271")</f>
        <v>6271</v>
      </c>
      <c r="C308" s="18">
        <f>VLOOKUP(6271,季財報!A:H,3)</f>
        <v>0</v>
      </c>
      <c r="D308" s="18">
        <f>VLOOKUP(6271,季財報!A:H,4)</f>
        <v>1</v>
      </c>
      <c r="E308" s="18">
        <f>VLOOKUP(6271,季財報!A:H,5)</f>
        <v>0</v>
      </c>
      <c r="F308" s="18">
        <f>VLOOKUP(6271,季財報!A:H,6)</f>
        <v>1</v>
      </c>
      <c r="G308" s="18">
        <f>VLOOKUP(6271,季財報!A:H,7)</f>
        <v>0</v>
      </c>
      <c r="N308" s="20">
        <f t="shared" si="4"/>
        <v>2</v>
      </c>
    </row>
    <row r="309" spans="1:14">
      <c r="A309" s="308" t="str">
        <f>HYPERLINK("http://www.wantgoo.com/stock/chart.aspx?stockno=1722","1722")</f>
        <v>1722</v>
      </c>
      <c r="C309" s="18">
        <f>VLOOKUP(1722,季財報!A:H,3)</f>
        <v>0</v>
      </c>
      <c r="D309" s="18">
        <f>VLOOKUP(1722,季財報!A:H,4)</f>
        <v>1</v>
      </c>
      <c r="E309" s="18">
        <f>VLOOKUP(1722,季財報!A:H,5)</f>
        <v>1</v>
      </c>
      <c r="F309" s="18">
        <f>VLOOKUP(1722,季財報!A:H,6)</f>
        <v>1</v>
      </c>
      <c r="G309" s="18">
        <f>VLOOKUP(1722,季財報!A:H,7)</f>
        <v>0</v>
      </c>
      <c r="N309" s="20">
        <f t="shared" si="4"/>
        <v>3</v>
      </c>
    </row>
    <row r="310" spans="1:14">
      <c r="A310" s="308" t="str">
        <f>HYPERLINK("http://www.wantgoo.com/stock/chart.aspx?stockno=2543","2543")</f>
        <v>2543</v>
      </c>
      <c r="C310" s="18">
        <f>VLOOKUP(2543,季財報!A:H,3)</f>
        <v>0</v>
      </c>
      <c r="D310" s="18">
        <f>VLOOKUP(2543,季財報!A:H,4)</f>
        <v>1</v>
      </c>
      <c r="E310" s="18">
        <f>VLOOKUP(2543,季財報!A:H,5)</f>
        <v>0</v>
      </c>
      <c r="F310" s="18">
        <f>VLOOKUP(2543,季財報!A:H,6)</f>
        <v>0</v>
      </c>
      <c r="G310" s="18">
        <f>VLOOKUP(2543,季財報!A:H,7)</f>
        <v>0</v>
      </c>
      <c r="N310" s="20">
        <f t="shared" si="4"/>
        <v>1</v>
      </c>
    </row>
    <row r="311" spans="1:14">
      <c r="A311" s="308" t="str">
        <f>HYPERLINK("http://www.wantgoo.com/stock/chart.aspx?stockno=1616","1616")</f>
        <v>1616</v>
      </c>
      <c r="C311" s="18">
        <f>VLOOKUP(1616,季財報!A:H,3)</f>
        <v>0</v>
      </c>
      <c r="D311" s="18">
        <f>VLOOKUP(1616,季財報!A:H,4)</f>
        <v>0</v>
      </c>
      <c r="E311" s="18">
        <f>VLOOKUP(1616,季財報!A:H,5)</f>
        <v>1</v>
      </c>
      <c r="F311" s="18">
        <f>VLOOKUP(1616,季財報!A:H,6)</f>
        <v>0</v>
      </c>
      <c r="G311" s="18">
        <f>VLOOKUP(1616,季財報!A:H,7)</f>
        <v>0</v>
      </c>
      <c r="N311" s="20">
        <f t="shared" si="4"/>
        <v>1</v>
      </c>
    </row>
    <row r="312" spans="1:14">
      <c r="A312" s="308" t="str">
        <f>HYPERLINK("http://www.wantgoo.com/stock/chart.aspx?stockno=2471","2471")</f>
        <v>2471</v>
      </c>
      <c r="C312" s="18">
        <f>VLOOKUP(2471,季財報!A:H,3)</f>
        <v>0</v>
      </c>
      <c r="D312" s="18">
        <f>VLOOKUP(2471,季財報!A:H,4)</f>
        <v>1</v>
      </c>
      <c r="E312" s="18">
        <f>VLOOKUP(2471,季財報!A:H,5)</f>
        <v>2</v>
      </c>
      <c r="F312" s="18">
        <f>VLOOKUP(2471,季財報!A:H,6)</f>
        <v>0</v>
      </c>
      <c r="G312" s="18">
        <f>VLOOKUP(2471,季財報!A:H,7)</f>
        <v>0</v>
      </c>
      <c r="N312" s="20">
        <f t="shared" si="4"/>
        <v>3</v>
      </c>
    </row>
    <row r="313" spans="1:14">
      <c r="A313" s="307" t="str">
        <f>HYPERLINK("http://www.wantgoo.com/stock/chart.aspx?stockno=4907","4907")</f>
        <v>4907</v>
      </c>
      <c r="C313" s="18">
        <f>VLOOKUP(4907,季財報!A:H,3)</f>
        <v>1</v>
      </c>
      <c r="D313" s="18">
        <f>VLOOKUP(4907,季財報!A:H,4)</f>
        <v>1</v>
      </c>
      <c r="E313" s="18">
        <f>VLOOKUP(4907,季財報!A:H,5)</f>
        <v>1</v>
      </c>
      <c r="F313" s="18">
        <f>VLOOKUP(4907,季財報!A:H,6)</f>
        <v>1</v>
      </c>
      <c r="G313" s="18">
        <f>VLOOKUP(4907,季財報!A:H,7)</f>
        <v>0</v>
      </c>
      <c r="N313" s="20">
        <f t="shared" si="4"/>
        <v>4</v>
      </c>
    </row>
    <row r="314" spans="1:14">
      <c r="A314" s="307" t="str">
        <f>HYPERLINK("http://www.wantgoo.com/stock/chart.aspx?stockno=3036","3036")</f>
        <v>3036</v>
      </c>
      <c r="C314" s="18">
        <f>VLOOKUP(3036,季財報!A:H,3)</f>
        <v>0</v>
      </c>
      <c r="D314" s="18">
        <f>VLOOKUP(3036,季財報!A:H,4)</f>
        <v>1</v>
      </c>
      <c r="E314" s="18">
        <f>VLOOKUP(3036,季財報!A:H,5)</f>
        <v>0</v>
      </c>
      <c r="F314" s="18">
        <f>VLOOKUP(3036,季財報!A:H,6)</f>
        <v>0</v>
      </c>
      <c r="G314" s="18">
        <f>VLOOKUP(3036,季財報!A:H,7)</f>
        <v>0</v>
      </c>
      <c r="N314" s="20">
        <f t="shared" si="4"/>
        <v>1</v>
      </c>
    </row>
    <row r="315" spans="1:14">
      <c r="A315" s="308" t="str">
        <f>HYPERLINK("http://www.wantgoo.com/stock/chart.aspx?stockno=6201","6201")</f>
        <v>6201</v>
      </c>
      <c r="C315" s="18">
        <f>VLOOKUP(6201,季財報!A:H,3)</f>
        <v>1</v>
      </c>
      <c r="D315" s="18">
        <f>VLOOKUP(6201,季財報!A:H,4)</f>
        <v>1</v>
      </c>
      <c r="E315" s="18">
        <f>VLOOKUP(6201,季財報!A:H,5)</f>
        <v>0</v>
      </c>
      <c r="F315" s="18">
        <f>VLOOKUP(6201,季財報!A:H,6)</f>
        <v>1</v>
      </c>
      <c r="G315" s="18">
        <f>VLOOKUP(6201,季財報!A:H,7)</f>
        <v>0</v>
      </c>
      <c r="N315" s="20">
        <f t="shared" si="4"/>
        <v>3</v>
      </c>
    </row>
    <row r="316" spans="1:14">
      <c r="A316" s="307" t="str">
        <f>HYPERLINK("http://www.wantgoo.com/stock/chart.aspx?stockno=6220","6220")</f>
        <v>6220</v>
      </c>
      <c r="C316" s="18">
        <f>VLOOKUP(6220,季財報!A:H,3)</f>
        <v>1</v>
      </c>
      <c r="D316" s="18">
        <f>VLOOKUP(6220,季財報!A:H,4)</f>
        <v>1</v>
      </c>
      <c r="E316" s="18">
        <f>VLOOKUP(6220,季財報!A:H,5)</f>
        <v>2</v>
      </c>
      <c r="F316" s="18">
        <f>VLOOKUP(6220,季財報!A:H,6)</f>
        <v>0</v>
      </c>
      <c r="G316" s="18">
        <f>VLOOKUP(6220,季財報!A:H,7)</f>
        <v>1</v>
      </c>
      <c r="N316" s="20">
        <f t="shared" si="4"/>
        <v>5</v>
      </c>
    </row>
    <row r="317" spans="1:14">
      <c r="A317" s="308" t="str">
        <f>HYPERLINK("http://www.wantgoo.com/stock/chart.aspx?stockno=2105","2105")</f>
        <v>2105</v>
      </c>
      <c r="C317" s="18">
        <f>VLOOKUP(2105,季財報!A:H,3)</f>
        <v>0</v>
      </c>
      <c r="D317" s="18">
        <f>VLOOKUP(2105,季財報!A:H,4)</f>
        <v>0</v>
      </c>
      <c r="E317" s="18">
        <f>VLOOKUP(2105,季財報!A:H,5)</f>
        <v>0</v>
      </c>
      <c r="F317" s="18">
        <f>VLOOKUP(2105,季財報!A:H,6)</f>
        <v>1</v>
      </c>
      <c r="G317" s="18">
        <f>VLOOKUP(2105,季財報!A:H,7)</f>
        <v>0</v>
      </c>
      <c r="N317" s="20">
        <f t="shared" si="4"/>
        <v>1</v>
      </c>
    </row>
    <row r="318" spans="1:14">
      <c r="A318" s="308" t="str">
        <f>HYPERLINK("http://www.wantgoo.com/stock/chart.aspx?stockno=4550","4550")</f>
        <v>4550</v>
      </c>
      <c r="C318" s="18">
        <f>VLOOKUP(4550,季財報!A:H,3)</f>
        <v>0</v>
      </c>
      <c r="D318" s="18">
        <f>VLOOKUP(4550,季財報!A:H,4)</f>
        <v>0</v>
      </c>
      <c r="E318" s="18">
        <f>VLOOKUP(4550,季財報!A:H,5)</f>
        <v>0</v>
      </c>
      <c r="F318" s="18">
        <f>VLOOKUP(4550,季財報!A:H,6)</f>
        <v>1</v>
      </c>
      <c r="G318" s="18">
        <f>VLOOKUP(4550,季財報!A:H,7)</f>
        <v>0</v>
      </c>
      <c r="N318" s="20">
        <f t="shared" si="4"/>
        <v>1</v>
      </c>
    </row>
    <row r="319" spans="1:14">
      <c r="A319" s="307" t="str">
        <f>HYPERLINK("http://www.wantgoo.com/stock/chart.aspx?stockno=4953","4953")</f>
        <v>4953</v>
      </c>
      <c r="C319" s="18">
        <f>VLOOKUP(4953,季財報!A:H,3)</f>
        <v>0</v>
      </c>
      <c r="D319" s="18">
        <f>VLOOKUP(4953,季財報!A:H,4)</f>
        <v>0</v>
      </c>
      <c r="E319" s="18">
        <f>VLOOKUP(4953,季財報!A:H,5)</f>
        <v>1</v>
      </c>
      <c r="F319" s="18">
        <f>VLOOKUP(4953,季財報!A:H,6)</f>
        <v>0</v>
      </c>
      <c r="G319" s="18">
        <f>VLOOKUP(4953,季財報!A:H,7)</f>
        <v>0</v>
      </c>
      <c r="N319" s="20">
        <f t="shared" si="4"/>
        <v>1</v>
      </c>
    </row>
    <row r="320" spans="1:14">
      <c r="A320" s="307" t="str">
        <f>HYPERLINK("http://www.wantgoo.com/stock/chart.aspx?stockno=5356","5356")</f>
        <v>5356</v>
      </c>
      <c r="C320" s="18">
        <f>VLOOKUP(5356,季財報!A:H,3)</f>
        <v>0</v>
      </c>
      <c r="D320" s="18">
        <f>VLOOKUP(5356,季財報!A:H,4)</f>
        <v>1</v>
      </c>
      <c r="E320" s="18">
        <f>VLOOKUP(5356,季財報!A:H,5)</f>
        <v>0</v>
      </c>
      <c r="F320" s="18">
        <f>VLOOKUP(5356,季財報!A:H,6)</f>
        <v>0</v>
      </c>
      <c r="G320" s="18">
        <f>VLOOKUP(5356,季財報!A:H,7)</f>
        <v>0</v>
      </c>
      <c r="N320" s="20">
        <f t="shared" si="4"/>
        <v>1</v>
      </c>
    </row>
    <row r="321" spans="1:14">
      <c r="A321" s="307" t="str">
        <f>HYPERLINK("http://www.wantgoo.com/stock/chart.aspx?stockno=1762","1762")</f>
        <v>1762</v>
      </c>
      <c r="C321" s="18">
        <f>VLOOKUP(1762,季財報!A:H,3)</f>
        <v>0</v>
      </c>
      <c r="D321" s="18">
        <f>VLOOKUP(1762,季財報!A:H,4)</f>
        <v>1</v>
      </c>
      <c r="E321" s="18">
        <f>VLOOKUP(1762,季財報!A:H,5)</f>
        <v>0</v>
      </c>
      <c r="F321" s="18">
        <f>VLOOKUP(1762,季財報!A:H,6)</f>
        <v>1</v>
      </c>
      <c r="G321" s="18">
        <f>VLOOKUP(1762,季財報!A:H,7)</f>
        <v>0</v>
      </c>
      <c r="N321" s="20">
        <f t="shared" si="4"/>
        <v>2</v>
      </c>
    </row>
    <row r="322" spans="1:14">
      <c r="A322" s="308" t="str">
        <f>HYPERLINK("http://www.wantgoo.com/stock/chart.aspx?stockno=2850","2850")</f>
        <v>2850</v>
      </c>
      <c r="C322" s="18">
        <f>VLOOKUP(2850,季財報!A:H,3)</f>
        <v>0</v>
      </c>
      <c r="D322" s="18">
        <f>VLOOKUP(2850,季財報!A:H,4)</f>
        <v>0</v>
      </c>
      <c r="E322" s="18">
        <f>VLOOKUP(2850,季財報!A:H,5)</f>
        <v>1</v>
      </c>
      <c r="F322" s="18">
        <f>VLOOKUP(2850,季財報!A:H,6)</f>
        <v>0</v>
      </c>
      <c r="G322" s="18">
        <f>VLOOKUP(2850,季財報!A:H,7)</f>
        <v>0</v>
      </c>
      <c r="N322" s="20">
        <f t="shared" si="4"/>
        <v>1</v>
      </c>
    </row>
    <row r="323" spans="1:14">
      <c r="A323" s="308" t="str">
        <f>HYPERLINK("http://www.wantgoo.com/stock/chart.aspx?stockno=3537","3537")</f>
        <v>3537</v>
      </c>
      <c r="C323" s="18">
        <f>VLOOKUP(3537,季財報!A:H,3)</f>
        <v>1</v>
      </c>
      <c r="D323" s="18">
        <f>VLOOKUP(3537,季財報!A:H,4)</f>
        <v>1</v>
      </c>
      <c r="E323" s="18">
        <f>VLOOKUP(3537,季財報!A:H,5)</f>
        <v>0</v>
      </c>
      <c r="F323" s="18">
        <f>VLOOKUP(3537,季財報!A:H,6)</f>
        <v>0</v>
      </c>
      <c r="G323" s="18">
        <f>VLOOKUP(3537,季財報!A:H,7)</f>
        <v>0</v>
      </c>
      <c r="N323" s="20">
        <f t="shared" si="4"/>
        <v>2</v>
      </c>
    </row>
    <row r="324" spans="1:14">
      <c r="A324" s="307" t="str">
        <f>HYPERLINK("http://www.wantgoo.com/stock/chart.aspx?stockno=2515","2515")</f>
        <v>2515</v>
      </c>
      <c r="C324" s="18">
        <f>VLOOKUP(2515,季財報!A:H,3)</f>
        <v>0</v>
      </c>
      <c r="D324" s="18">
        <f>VLOOKUP(2515,季財報!A:H,4)</f>
        <v>0</v>
      </c>
      <c r="E324" s="18">
        <f>VLOOKUP(2515,季財報!A:H,5)</f>
        <v>0</v>
      </c>
      <c r="F324" s="18">
        <f>VLOOKUP(2515,季財報!A:H,6)</f>
        <v>0</v>
      </c>
      <c r="G324" s="18">
        <f>VLOOKUP(2515,季財報!A:H,7)</f>
        <v>0</v>
      </c>
      <c r="N324" s="20">
        <f t="shared" ref="N324:N387" si="5">SUM(C324:M324)</f>
        <v>0</v>
      </c>
    </row>
    <row r="325" spans="1:14">
      <c r="A325" s="307" t="str">
        <f>HYPERLINK("http://www.wantgoo.com/stock/chart.aspx?stockno=2542","2542")</f>
        <v>2542</v>
      </c>
      <c r="C325" s="18">
        <f>VLOOKUP(2542,季財報!A:H,3)</f>
        <v>0</v>
      </c>
      <c r="D325" s="18">
        <f>VLOOKUP(2542,季財報!A:H,4)</f>
        <v>1</v>
      </c>
      <c r="E325" s="18">
        <f>VLOOKUP(2542,季財報!A:H,5)</f>
        <v>0</v>
      </c>
      <c r="F325" s="18">
        <f>VLOOKUP(2542,季財報!A:H,6)</f>
        <v>0</v>
      </c>
      <c r="G325" s="18">
        <f>VLOOKUP(2542,季財報!A:H,7)</f>
        <v>0</v>
      </c>
      <c r="N325" s="20">
        <f t="shared" si="5"/>
        <v>1</v>
      </c>
    </row>
    <row r="326" spans="1:14">
      <c r="A326" s="307" t="str">
        <f>HYPERLINK("http://www.wantgoo.com/stock/chart.aspx?stockno=6279","6279")</f>
        <v>6279</v>
      </c>
      <c r="C326" s="18">
        <f>VLOOKUP(6279,季財報!A:H,3)</f>
        <v>0</v>
      </c>
      <c r="D326" s="18">
        <f>VLOOKUP(6279,季財報!A:H,4)</f>
        <v>1</v>
      </c>
      <c r="E326" s="18">
        <f>VLOOKUP(6279,季財報!A:H,5)</f>
        <v>0</v>
      </c>
      <c r="F326" s="18">
        <f>VLOOKUP(6279,季財報!A:H,6)</f>
        <v>0</v>
      </c>
      <c r="G326" s="18">
        <f>VLOOKUP(6279,季財報!A:H,7)</f>
        <v>0</v>
      </c>
      <c r="N326" s="20">
        <f t="shared" si="5"/>
        <v>1</v>
      </c>
    </row>
    <row r="327" spans="1:14">
      <c r="A327" s="308" t="str">
        <f>HYPERLINK("http://www.wantgoo.com/stock/chart.aspx?stockno=3587","3587")</f>
        <v>3587</v>
      </c>
      <c r="C327" s="18">
        <f>VLOOKUP(3587,季財報!A:H,3)</f>
        <v>0</v>
      </c>
      <c r="D327" s="18">
        <f>VLOOKUP(3587,季財報!A:H,4)</f>
        <v>1</v>
      </c>
      <c r="E327" s="18">
        <f>VLOOKUP(3587,季財報!A:H,5)</f>
        <v>1</v>
      </c>
      <c r="F327" s="18">
        <f>VLOOKUP(3587,季財報!A:H,6)</f>
        <v>1</v>
      </c>
      <c r="G327" s="18">
        <f>VLOOKUP(3587,季財報!A:H,7)</f>
        <v>1</v>
      </c>
      <c r="N327" s="20">
        <f t="shared" si="5"/>
        <v>4</v>
      </c>
    </row>
    <row r="328" spans="1:14">
      <c r="A328" s="307" t="str">
        <f>HYPERLINK("http://www.wantgoo.com/stock/chart.aspx?stockno=1777","1777")</f>
        <v>1777</v>
      </c>
      <c r="C328" s="18">
        <f>VLOOKUP(1777,季財報!A:H,3)</f>
        <v>1</v>
      </c>
      <c r="D328" s="18">
        <f>VLOOKUP(1777,季財報!A:H,4)</f>
        <v>1</v>
      </c>
      <c r="E328" s="18">
        <f>VLOOKUP(1777,季財報!A:H,5)</f>
        <v>1</v>
      </c>
      <c r="F328" s="18">
        <f>VLOOKUP(1777,季財報!A:H,6)</f>
        <v>1</v>
      </c>
      <c r="G328" s="18">
        <f>VLOOKUP(1777,季財報!A:H,7)</f>
        <v>1</v>
      </c>
      <c r="N328" s="20">
        <f t="shared" si="5"/>
        <v>5</v>
      </c>
    </row>
    <row r="329" spans="1:14">
      <c r="A329" s="307" t="str">
        <f>HYPERLINK("http://www.wantgoo.com/stock/chart.aspx?stockno=3217","3217")</f>
        <v>3217</v>
      </c>
      <c r="C329" s="18">
        <f>VLOOKUP(3217,季財報!A:H,3)</f>
        <v>1</v>
      </c>
      <c r="D329" s="18">
        <f>VLOOKUP(3217,季財報!A:H,4)</f>
        <v>1</v>
      </c>
      <c r="E329" s="18">
        <f>VLOOKUP(3217,季財報!A:H,5)</f>
        <v>2</v>
      </c>
      <c r="F329" s="18">
        <f>VLOOKUP(3217,季財報!A:H,6)</f>
        <v>1</v>
      </c>
      <c r="G329" s="18">
        <f>VLOOKUP(3217,季財報!A:H,7)</f>
        <v>0</v>
      </c>
      <c r="N329" s="20">
        <f t="shared" si="5"/>
        <v>5</v>
      </c>
    </row>
    <row r="330" spans="1:14">
      <c r="A330" s="308" t="str">
        <f>HYPERLINK("http://www.wantgoo.com/stock/chart.aspx?stockno=3617","3617")</f>
        <v>3617</v>
      </c>
      <c r="C330" s="18">
        <f>VLOOKUP(3617,季財報!A:H,3)</f>
        <v>1</v>
      </c>
      <c r="D330" s="18">
        <f>VLOOKUP(3617,季財報!A:H,4)</f>
        <v>1</v>
      </c>
      <c r="E330" s="18">
        <f>VLOOKUP(3617,季財報!A:H,5)</f>
        <v>0</v>
      </c>
      <c r="F330" s="18">
        <f>VLOOKUP(3617,季財報!A:H,6)</f>
        <v>1</v>
      </c>
      <c r="G330" s="18">
        <f>VLOOKUP(3617,季財報!A:H,7)</f>
        <v>0</v>
      </c>
      <c r="N330" s="20">
        <f t="shared" si="5"/>
        <v>3</v>
      </c>
    </row>
    <row r="331" spans="1:14">
      <c r="A331" s="308" t="str">
        <f>HYPERLINK("http://www.wantgoo.com/stock/chart.aspx?stockno=2377","2377")</f>
        <v>2377</v>
      </c>
      <c r="C331" s="18">
        <f>VLOOKUP(2377,季財報!A:H,3)</f>
        <v>1</v>
      </c>
      <c r="D331" s="18">
        <f>VLOOKUP(2377,季財報!A:H,4)</f>
        <v>1</v>
      </c>
      <c r="E331" s="18">
        <f>VLOOKUP(2377,季財報!A:H,5)</f>
        <v>2</v>
      </c>
      <c r="F331" s="18">
        <f>VLOOKUP(2377,季財報!A:H,6)</f>
        <v>1</v>
      </c>
      <c r="G331" s="18">
        <f>VLOOKUP(2377,季財報!A:H,7)</f>
        <v>0</v>
      </c>
      <c r="N331" s="20">
        <f t="shared" si="5"/>
        <v>5</v>
      </c>
    </row>
    <row r="332" spans="1:14">
      <c r="A332" s="307" t="str">
        <f>HYPERLINK("http://www.wantgoo.com/stock/chart.aspx?stockno=2539","2539")</f>
        <v>2539</v>
      </c>
      <c r="C332" s="18">
        <f>VLOOKUP(2539,季財報!A:H,3)</f>
        <v>0</v>
      </c>
      <c r="D332" s="18">
        <f>VLOOKUP(2539,季財報!A:H,4)</f>
        <v>0</v>
      </c>
      <c r="E332" s="18">
        <f>VLOOKUP(2539,季財報!A:H,5)</f>
        <v>0</v>
      </c>
      <c r="F332" s="18">
        <f>VLOOKUP(2539,季財報!A:H,6)</f>
        <v>0</v>
      </c>
      <c r="G332" s="18">
        <f>VLOOKUP(2539,季財報!A:H,7)</f>
        <v>0</v>
      </c>
      <c r="N332" s="20">
        <f t="shared" si="5"/>
        <v>0</v>
      </c>
    </row>
    <row r="333" spans="1:14">
      <c r="A333" s="307" t="str">
        <f>HYPERLINK("http://www.wantgoo.com/stock/chart.aspx?stockno=4912","4912")</f>
        <v>4912</v>
      </c>
      <c r="C333" s="18">
        <f>VLOOKUP(4912,季財報!A:H,3)</f>
        <v>0</v>
      </c>
      <c r="D333" s="18">
        <f>VLOOKUP(4912,季財報!A:H,4)</f>
        <v>1</v>
      </c>
      <c r="E333" s="18">
        <f>VLOOKUP(4912,季財報!A:H,5)</f>
        <v>0</v>
      </c>
      <c r="F333" s="18">
        <f>VLOOKUP(4912,季財報!A:H,6)</f>
        <v>1</v>
      </c>
      <c r="G333" s="18">
        <f>VLOOKUP(4912,季財報!A:H,7)</f>
        <v>0</v>
      </c>
      <c r="N333" s="20">
        <f t="shared" si="5"/>
        <v>2</v>
      </c>
    </row>
    <row r="334" spans="1:14">
      <c r="A334" s="307" t="str">
        <f>HYPERLINK("http://www.wantgoo.com/stock/chart.aspx?stockno=1256","1256")</f>
        <v>1256</v>
      </c>
      <c r="C334" s="18">
        <f>VLOOKUP(1256,季財報!A:H,3)</f>
        <v>0</v>
      </c>
      <c r="D334" s="18">
        <f>VLOOKUP(1256,季財報!A:H,4)</f>
        <v>0</v>
      </c>
      <c r="E334" s="18">
        <f>VLOOKUP(1256,季財報!A:H,5)</f>
        <v>0</v>
      </c>
      <c r="F334" s="18">
        <f>VLOOKUP(1256,季財報!A:H,6)</f>
        <v>1</v>
      </c>
      <c r="G334" s="18">
        <f>VLOOKUP(1256,季財報!A:H,7)</f>
        <v>0</v>
      </c>
      <c r="N334" s="20">
        <f t="shared" si="5"/>
        <v>1</v>
      </c>
    </row>
    <row r="335" spans="1:14">
      <c r="A335" s="307" t="str">
        <f>HYPERLINK("http://www.wantgoo.com/stock/chart.aspx?stockno=1339","1339")</f>
        <v>1339</v>
      </c>
      <c r="C335" s="18">
        <f>VLOOKUP(1339,季財報!A:H,3)</f>
        <v>1</v>
      </c>
      <c r="D335" s="18">
        <f>VLOOKUP(1339,季財報!A:H,4)</f>
        <v>1</v>
      </c>
      <c r="E335" s="18">
        <f>VLOOKUP(1339,季財報!A:H,5)</f>
        <v>0</v>
      </c>
      <c r="F335" s="18">
        <f>VLOOKUP(1339,季財報!A:H,6)</f>
        <v>0</v>
      </c>
      <c r="G335" s="18">
        <f>VLOOKUP(1339,季財報!A:H,7)</f>
        <v>1</v>
      </c>
      <c r="N335" s="20">
        <f t="shared" si="5"/>
        <v>3</v>
      </c>
    </row>
    <row r="336" spans="1:14">
      <c r="A336" s="307" t="str">
        <f>HYPERLINK("http://www.wantgoo.com/stock/chart.aspx?stockno=1532","1532")</f>
        <v>1532</v>
      </c>
      <c r="C336" s="18">
        <f>VLOOKUP(1532,季財報!A:H,3)</f>
        <v>0</v>
      </c>
      <c r="D336" s="18">
        <f>VLOOKUP(1532,季財報!A:H,4)</f>
        <v>1</v>
      </c>
      <c r="E336" s="18">
        <f>VLOOKUP(1532,季財報!A:H,5)</f>
        <v>2</v>
      </c>
      <c r="F336" s="18">
        <f>VLOOKUP(1532,季財報!A:H,6)</f>
        <v>1</v>
      </c>
      <c r="G336" s="18">
        <f>VLOOKUP(1532,季財報!A:H,7)</f>
        <v>0</v>
      </c>
      <c r="N336" s="20">
        <f t="shared" si="5"/>
        <v>4</v>
      </c>
    </row>
    <row r="337" spans="1:14">
      <c r="A337" s="308" t="str">
        <f>HYPERLINK("http://www.wantgoo.com/stock/chart.aspx?stockno=2454","2454")</f>
        <v>2454</v>
      </c>
      <c r="C337" s="18">
        <f>VLOOKUP(2454,季財報!A:H,3)</f>
        <v>0</v>
      </c>
      <c r="D337" s="18">
        <f>VLOOKUP(2454,季財報!A:H,4)</f>
        <v>1</v>
      </c>
      <c r="E337" s="18">
        <f>VLOOKUP(2454,季財報!A:H,5)</f>
        <v>0</v>
      </c>
      <c r="F337" s="18">
        <f>VLOOKUP(2454,季財報!A:H,6)</f>
        <v>0</v>
      </c>
      <c r="G337" s="18">
        <f>VLOOKUP(2454,季財報!A:H,7)</f>
        <v>0</v>
      </c>
      <c r="N337" s="20">
        <f t="shared" si="5"/>
        <v>1</v>
      </c>
    </row>
    <row r="338" spans="1:14">
      <c r="A338" s="307" t="str">
        <f>HYPERLINK("http://www.wantgoo.com/stock/chart.aspx?stockno=3010","3010")</f>
        <v>3010</v>
      </c>
      <c r="C338" s="18">
        <f>VLOOKUP(3010,季財報!A:H,3)</f>
        <v>0</v>
      </c>
      <c r="D338" s="18">
        <f>VLOOKUP(3010,季財報!A:H,4)</f>
        <v>0</v>
      </c>
      <c r="E338" s="18">
        <f>VLOOKUP(3010,季財報!A:H,5)</f>
        <v>1</v>
      </c>
      <c r="F338" s="18">
        <f>VLOOKUP(3010,季財報!A:H,6)</f>
        <v>0</v>
      </c>
      <c r="G338" s="18">
        <f>VLOOKUP(3010,季財報!A:H,7)</f>
        <v>0</v>
      </c>
      <c r="N338" s="20">
        <f t="shared" si="5"/>
        <v>1</v>
      </c>
    </row>
    <row r="339" spans="1:14">
      <c r="A339" s="308" t="str">
        <f>HYPERLINK("http://www.wantgoo.com/stock/chart.aspx?stockno=3598","3598")</f>
        <v>3598</v>
      </c>
      <c r="C339" s="18">
        <f>VLOOKUP(3598,季財報!A:H,3)</f>
        <v>0</v>
      </c>
      <c r="D339" s="18">
        <f>VLOOKUP(3598,季財報!A:H,4)</f>
        <v>1</v>
      </c>
      <c r="E339" s="18">
        <f>VLOOKUP(3598,季財報!A:H,5)</f>
        <v>0</v>
      </c>
      <c r="F339" s="18">
        <f>VLOOKUP(3598,季財報!A:H,6)</f>
        <v>1</v>
      </c>
      <c r="G339" s="18">
        <f>VLOOKUP(3598,季財報!A:H,7)</f>
        <v>0</v>
      </c>
      <c r="N339" s="20">
        <f t="shared" si="5"/>
        <v>2</v>
      </c>
    </row>
    <row r="340" spans="1:14">
      <c r="A340" s="307" t="str">
        <f>HYPERLINK("http://www.wantgoo.com/stock/chart.aspx?stockno=6115","6115")</f>
        <v>6115</v>
      </c>
      <c r="C340" s="18">
        <f>VLOOKUP(6115,季財報!A:H,3)</f>
        <v>1</v>
      </c>
      <c r="D340" s="18">
        <f>VLOOKUP(6115,季財報!A:H,4)</f>
        <v>1</v>
      </c>
      <c r="E340" s="18">
        <f>VLOOKUP(6115,季財報!A:H,5)</f>
        <v>2</v>
      </c>
      <c r="F340" s="18">
        <f>VLOOKUP(6115,季財報!A:H,6)</f>
        <v>1</v>
      </c>
      <c r="G340" s="18">
        <f>VLOOKUP(6115,季財報!A:H,7)</f>
        <v>0</v>
      </c>
      <c r="N340" s="20">
        <f t="shared" si="5"/>
        <v>5</v>
      </c>
    </row>
    <row r="341" spans="1:14">
      <c r="A341" s="307" t="str">
        <f>HYPERLINK("http://www.wantgoo.com/stock/chart.aspx?stockno=3118","3118")</f>
        <v>3118</v>
      </c>
      <c r="C341" s="18">
        <f>VLOOKUP(3118,季財報!A:H,3)</f>
        <v>0</v>
      </c>
      <c r="D341" s="18">
        <f>VLOOKUP(3118,季財報!A:H,4)</f>
        <v>1</v>
      </c>
      <c r="E341" s="18">
        <f>VLOOKUP(3118,季財報!A:H,5)</f>
        <v>1</v>
      </c>
      <c r="F341" s="18">
        <f>VLOOKUP(3118,季財報!A:H,6)</f>
        <v>1</v>
      </c>
      <c r="G341" s="18">
        <f>VLOOKUP(3118,季財報!A:H,7)</f>
        <v>0</v>
      </c>
      <c r="N341" s="20">
        <f t="shared" si="5"/>
        <v>3</v>
      </c>
    </row>
    <row r="342" spans="1:14">
      <c r="A342" s="308" t="str">
        <f>HYPERLINK("http://www.wantgoo.com/stock/chart.aspx?stockno=5471","5471")</f>
        <v>5471</v>
      </c>
      <c r="C342" s="18">
        <f>VLOOKUP(5471,季財報!A:H,3)</f>
        <v>0</v>
      </c>
      <c r="D342" s="18">
        <f>VLOOKUP(5471,季財報!A:H,4)</f>
        <v>0</v>
      </c>
      <c r="E342" s="18">
        <f>VLOOKUP(5471,季財報!A:H,5)</f>
        <v>0</v>
      </c>
      <c r="F342" s="18">
        <f>VLOOKUP(5471,季財報!A:H,6)</f>
        <v>1</v>
      </c>
      <c r="G342" s="18">
        <f>VLOOKUP(5471,季財報!A:H,7)</f>
        <v>0</v>
      </c>
      <c r="N342" s="20">
        <f t="shared" si="5"/>
        <v>1</v>
      </c>
    </row>
    <row r="343" spans="1:14">
      <c r="A343" s="307" t="str">
        <f>HYPERLINK("http://www.wantgoo.com/stock/chart.aspx?stockno=3131","3131")</f>
        <v>3131</v>
      </c>
      <c r="C343" s="18">
        <f>VLOOKUP(3131,季財報!A:H,3)</f>
        <v>0</v>
      </c>
      <c r="D343" s="18">
        <f>VLOOKUP(3131,季財報!A:H,4)</f>
        <v>1</v>
      </c>
      <c r="E343" s="18">
        <f>VLOOKUP(3131,季財報!A:H,5)</f>
        <v>0</v>
      </c>
      <c r="F343" s="18">
        <f>VLOOKUP(3131,季財報!A:H,6)</f>
        <v>0</v>
      </c>
      <c r="G343" s="18">
        <f>VLOOKUP(3131,季財報!A:H,7)</f>
        <v>0</v>
      </c>
      <c r="N343" s="20">
        <f t="shared" si="5"/>
        <v>1</v>
      </c>
    </row>
    <row r="344" spans="1:14">
      <c r="A344" s="308" t="str">
        <f>HYPERLINK("http://www.wantgoo.com/stock/chart.aspx?stockno=4153","4153")</f>
        <v>4153</v>
      </c>
      <c r="C344" s="18">
        <f>VLOOKUP(4153,季財報!A:H,3)</f>
        <v>1</v>
      </c>
      <c r="D344" s="18">
        <f>VLOOKUP(4153,季財報!A:H,4)</f>
        <v>1</v>
      </c>
      <c r="E344" s="18">
        <f>VLOOKUP(4153,季財報!A:H,5)</f>
        <v>0</v>
      </c>
      <c r="F344" s="18">
        <f>VLOOKUP(4153,季財報!A:H,6)</f>
        <v>1</v>
      </c>
      <c r="G344" s="18">
        <f>VLOOKUP(4153,季財報!A:H,7)</f>
        <v>0</v>
      </c>
      <c r="N344" s="20">
        <f t="shared" si="5"/>
        <v>3</v>
      </c>
    </row>
    <row r="345" spans="1:14">
      <c r="A345" s="308" t="str">
        <f>HYPERLINK("http://www.wantgoo.com/stock/chart.aspx?stockno=6109","6109")</f>
        <v>6109</v>
      </c>
      <c r="C345" s="18">
        <f>VLOOKUP(6109,季財報!A:H,3)</f>
        <v>1</v>
      </c>
      <c r="D345" s="18">
        <f>VLOOKUP(6109,季財報!A:H,4)</f>
        <v>1</v>
      </c>
      <c r="E345" s="18">
        <f>VLOOKUP(6109,季財報!A:H,5)</f>
        <v>0</v>
      </c>
      <c r="F345" s="18">
        <f>VLOOKUP(6109,季財報!A:H,6)</f>
        <v>0</v>
      </c>
      <c r="G345" s="18">
        <f>VLOOKUP(6109,季財報!A:H,7)</f>
        <v>0</v>
      </c>
      <c r="N345" s="20">
        <f t="shared" si="5"/>
        <v>2</v>
      </c>
    </row>
    <row r="346" spans="1:14">
      <c r="A346" s="307" t="str">
        <f>HYPERLINK("http://www.wantgoo.com/stock/chart.aspx?stockno=1535","1535")</f>
        <v>1535</v>
      </c>
      <c r="C346" s="18">
        <f>VLOOKUP(1535,季財報!A:H,3)</f>
        <v>0</v>
      </c>
      <c r="D346" s="18">
        <f>VLOOKUP(1535,季財報!A:H,4)</f>
        <v>1</v>
      </c>
      <c r="E346" s="18">
        <f>VLOOKUP(1535,季財報!A:H,5)</f>
        <v>0</v>
      </c>
      <c r="F346" s="18">
        <f>VLOOKUP(1535,季財報!A:H,6)</f>
        <v>0</v>
      </c>
      <c r="G346" s="18">
        <f>VLOOKUP(1535,季財報!A:H,7)</f>
        <v>0</v>
      </c>
      <c r="N346" s="20">
        <f t="shared" si="5"/>
        <v>1</v>
      </c>
    </row>
    <row r="347" spans="1:14">
      <c r="A347" s="308" t="str">
        <f>HYPERLINK("http://www.wantgoo.com/stock/chart.aspx?stockno=2387","2387")</f>
        <v>2387</v>
      </c>
      <c r="C347" s="18">
        <f>VLOOKUP(2387,季財報!A:H,3)</f>
        <v>1</v>
      </c>
      <c r="D347" s="18">
        <f>VLOOKUP(2387,季財報!A:H,4)</f>
        <v>1</v>
      </c>
      <c r="E347" s="18">
        <f>VLOOKUP(2387,季財報!A:H,5)</f>
        <v>1</v>
      </c>
      <c r="F347" s="18">
        <f>VLOOKUP(2387,季財報!A:H,6)</f>
        <v>1</v>
      </c>
      <c r="G347" s="18">
        <f>VLOOKUP(2387,季財報!A:H,7)</f>
        <v>0</v>
      </c>
      <c r="N347" s="20">
        <f t="shared" si="5"/>
        <v>4</v>
      </c>
    </row>
    <row r="348" spans="1:14">
      <c r="A348" s="308" t="str">
        <f>HYPERLINK("http://www.wantgoo.com/stock/chart.aspx?stockno=2449","2449")</f>
        <v>2449</v>
      </c>
      <c r="C348" s="18">
        <f>VLOOKUP(2449,季財報!A:H,3)</f>
        <v>0</v>
      </c>
      <c r="D348" s="18">
        <f>VLOOKUP(2449,季財報!A:H,4)</f>
        <v>0</v>
      </c>
      <c r="E348" s="18">
        <f>VLOOKUP(2449,季財報!A:H,5)</f>
        <v>0</v>
      </c>
      <c r="F348" s="18">
        <f>VLOOKUP(2449,季財報!A:H,6)</f>
        <v>1</v>
      </c>
      <c r="G348" s="18">
        <f>VLOOKUP(2449,季財報!A:H,7)</f>
        <v>0</v>
      </c>
      <c r="N348" s="20">
        <f t="shared" si="5"/>
        <v>1</v>
      </c>
    </row>
    <row r="349" spans="1:14">
      <c r="A349" s="308" t="str">
        <f>HYPERLINK("http://www.wantgoo.com/stock/chart.aspx?stockno=6221","6221")</f>
        <v>6221</v>
      </c>
      <c r="C349" s="18">
        <f>VLOOKUP(6221,季財報!A:H,3)</f>
        <v>0</v>
      </c>
      <c r="D349" s="18">
        <f>VLOOKUP(6221,季財報!A:H,4)</f>
        <v>1</v>
      </c>
      <c r="E349" s="18">
        <f>VLOOKUP(6221,季財報!A:H,5)</f>
        <v>1</v>
      </c>
      <c r="F349" s="18">
        <f>VLOOKUP(6221,季財報!A:H,6)</f>
        <v>0</v>
      </c>
      <c r="G349" s="18">
        <f>VLOOKUP(6221,季財報!A:H,7)</f>
        <v>0</v>
      </c>
      <c r="N349" s="20">
        <f t="shared" si="5"/>
        <v>2</v>
      </c>
    </row>
    <row r="350" spans="1:14">
      <c r="A350" s="308" t="str">
        <f>HYPERLINK("http://www.wantgoo.com/stock/chart.aspx?stockno=8435","8435")</f>
        <v>8435</v>
      </c>
      <c r="C350" s="18">
        <f>VLOOKUP(8435,季財報!A:H,3)</f>
        <v>0</v>
      </c>
      <c r="D350" s="18">
        <f>VLOOKUP(8435,季財報!A:H,4)</f>
        <v>1</v>
      </c>
      <c r="E350" s="18">
        <f>VLOOKUP(8435,季財報!A:H,5)</f>
        <v>0</v>
      </c>
      <c r="F350" s="18">
        <f>VLOOKUP(8435,季財報!A:H,6)</f>
        <v>1</v>
      </c>
      <c r="G350" s="18">
        <f>VLOOKUP(8435,季財報!A:H,7)</f>
        <v>0</v>
      </c>
      <c r="N350" s="20">
        <f t="shared" si="5"/>
        <v>2</v>
      </c>
    </row>
    <row r="351" spans="1:14">
      <c r="A351" s="308" t="str">
        <f>HYPERLINK("http://www.wantgoo.com/stock/chart.aspx?stockno=5251","5251")</f>
        <v>5251</v>
      </c>
      <c r="C351" s="18">
        <f>VLOOKUP(5251,季財報!A:H,3)</f>
        <v>0</v>
      </c>
      <c r="D351" s="18">
        <f>VLOOKUP(5251,季財報!A:H,4)</f>
        <v>1</v>
      </c>
      <c r="E351" s="18">
        <f>VLOOKUP(5251,季財報!A:H,5)</f>
        <v>0</v>
      </c>
      <c r="F351" s="18">
        <f>VLOOKUP(5251,季財報!A:H,6)</f>
        <v>1</v>
      </c>
      <c r="G351" s="18">
        <f>VLOOKUP(5251,季財報!A:H,7)</f>
        <v>0</v>
      </c>
      <c r="N351" s="20">
        <f t="shared" si="5"/>
        <v>2</v>
      </c>
    </row>
    <row r="352" spans="1:14">
      <c r="A352" s="308" t="str">
        <f>HYPERLINK("http://www.wantgoo.com/stock/chart.aspx?stockno=5403","5403")</f>
        <v>5403</v>
      </c>
      <c r="C352" s="18">
        <f>VLOOKUP(5403,季財報!A:H,3)</f>
        <v>0</v>
      </c>
      <c r="D352" s="18">
        <f>VLOOKUP(5403,季財報!A:H,4)</f>
        <v>0</v>
      </c>
      <c r="E352" s="18">
        <f>VLOOKUP(5403,季財報!A:H,5)</f>
        <v>0</v>
      </c>
      <c r="F352" s="18">
        <f>VLOOKUP(5403,季財報!A:H,6)</f>
        <v>1</v>
      </c>
      <c r="G352" s="18">
        <f>VLOOKUP(5403,季財報!A:H,7)</f>
        <v>0</v>
      </c>
      <c r="N352" s="20">
        <f t="shared" si="5"/>
        <v>1</v>
      </c>
    </row>
    <row r="353" spans="1:14">
      <c r="A353" s="307" t="str">
        <f>HYPERLINK("http://www.wantgoo.com/stock/chart.aspx?stockno=1507","1507")</f>
        <v>1507</v>
      </c>
      <c r="C353" s="18">
        <f>VLOOKUP(1507,季財報!A:H,3)</f>
        <v>0</v>
      </c>
      <c r="D353" s="18">
        <f>VLOOKUP(1507,季財報!A:H,4)</f>
        <v>1</v>
      </c>
      <c r="E353" s="18">
        <f>VLOOKUP(1507,季財報!A:H,5)</f>
        <v>1</v>
      </c>
      <c r="F353" s="18">
        <f>VLOOKUP(1507,季財報!A:H,6)</f>
        <v>0</v>
      </c>
      <c r="G353" s="18">
        <f>VLOOKUP(1507,季財報!A:H,7)</f>
        <v>0</v>
      </c>
      <c r="N353" s="20">
        <f t="shared" si="5"/>
        <v>2</v>
      </c>
    </row>
    <row r="354" spans="1:14">
      <c r="A354" s="307" t="str">
        <f>HYPERLINK("http://www.wantgoo.com/stock/chart.aspx?stockno=4103","4103")</f>
        <v>4103</v>
      </c>
      <c r="C354" s="18">
        <f>VLOOKUP(4103,季財報!A:H,3)</f>
        <v>1</v>
      </c>
      <c r="D354" s="18">
        <f>VLOOKUP(4103,季財報!A:H,4)</f>
        <v>1</v>
      </c>
      <c r="E354" s="18">
        <f>VLOOKUP(4103,季財報!A:H,5)</f>
        <v>1</v>
      </c>
      <c r="F354" s="18">
        <f>VLOOKUP(4103,季財報!A:H,6)</f>
        <v>0</v>
      </c>
      <c r="G354" s="18">
        <f>VLOOKUP(4103,季財報!A:H,7)</f>
        <v>0</v>
      </c>
      <c r="N354" s="20">
        <f t="shared" si="5"/>
        <v>3</v>
      </c>
    </row>
    <row r="355" spans="1:14">
      <c r="A355" s="308" t="str">
        <f>HYPERLINK("http://www.wantgoo.com/stock/chart.aspx?stockno=4745","4745")</f>
        <v>4745</v>
      </c>
      <c r="C355" s="18">
        <f>VLOOKUP(4745,季財報!A:H,3)</f>
        <v>0</v>
      </c>
      <c r="D355" s="18">
        <f>VLOOKUP(4745,季財報!A:H,4)</f>
        <v>0</v>
      </c>
      <c r="E355" s="18">
        <f>VLOOKUP(4745,季財報!A:H,5)</f>
        <v>0</v>
      </c>
      <c r="F355" s="18">
        <f>VLOOKUP(4745,季財報!A:H,6)</f>
        <v>0</v>
      </c>
      <c r="G355" s="18">
        <f>VLOOKUP(4745,季財報!A:H,7)</f>
        <v>0</v>
      </c>
      <c r="N355" s="20">
        <f t="shared" si="5"/>
        <v>0</v>
      </c>
    </row>
    <row r="356" spans="1:14">
      <c r="A356" s="308" t="str">
        <f>HYPERLINK("http://www.wantgoo.com/stock/chart.aspx?stockno=5009","5009")</f>
        <v>5009</v>
      </c>
      <c r="C356" s="18">
        <f>VLOOKUP(5009,季財報!A:H,3)</f>
        <v>1</v>
      </c>
      <c r="D356" s="18">
        <f>VLOOKUP(5009,季財報!A:H,4)</f>
        <v>1</v>
      </c>
      <c r="E356" s="18">
        <f>VLOOKUP(5009,季財報!A:H,5)</f>
        <v>0</v>
      </c>
      <c r="F356" s="18">
        <f>VLOOKUP(5009,季財報!A:H,6)</f>
        <v>1</v>
      </c>
      <c r="G356" s="18">
        <f>VLOOKUP(5009,季財報!A:H,7)</f>
        <v>0</v>
      </c>
      <c r="N356" s="20">
        <f t="shared" si="5"/>
        <v>3</v>
      </c>
    </row>
    <row r="357" spans="1:14">
      <c r="A357" s="307" t="str">
        <f>HYPERLINK("http://www.wantgoo.com/stock/chart.aspx?stockno=3390","3390")</f>
        <v>3390</v>
      </c>
      <c r="C357" s="18">
        <f>VLOOKUP(3390,季財報!A:H,3)</f>
        <v>0</v>
      </c>
      <c r="D357" s="18">
        <f>VLOOKUP(3390,季財報!A:H,4)</f>
        <v>1</v>
      </c>
      <c r="E357" s="18">
        <f>VLOOKUP(3390,季財報!A:H,5)</f>
        <v>0</v>
      </c>
      <c r="F357" s="18">
        <f>VLOOKUP(3390,季財報!A:H,6)</f>
        <v>1</v>
      </c>
      <c r="G357" s="18">
        <f>VLOOKUP(3390,季財報!A:H,7)</f>
        <v>0</v>
      </c>
      <c r="N357" s="20">
        <f t="shared" si="5"/>
        <v>2</v>
      </c>
    </row>
    <row r="358" spans="1:14">
      <c r="A358" s="307" t="str">
        <f>HYPERLINK("http://www.wantgoo.com/stock/chart.aspx?stockno=2459","2459")</f>
        <v>2459</v>
      </c>
      <c r="C358" s="18">
        <f>VLOOKUP(2459,季財報!A:H,3)</f>
        <v>0</v>
      </c>
      <c r="D358" s="18">
        <f>VLOOKUP(2459,季財報!A:H,4)</f>
        <v>1</v>
      </c>
      <c r="E358" s="18">
        <f>VLOOKUP(2459,季財報!A:H,5)</f>
        <v>0</v>
      </c>
      <c r="F358" s="18">
        <f>VLOOKUP(2459,季財報!A:H,6)</f>
        <v>0</v>
      </c>
      <c r="G358" s="18">
        <f>VLOOKUP(2459,季財報!A:H,7)</f>
        <v>0</v>
      </c>
      <c r="N358" s="20">
        <f t="shared" si="5"/>
        <v>1</v>
      </c>
    </row>
    <row r="359" spans="1:14">
      <c r="A359" s="307" t="str">
        <f>HYPERLINK("http://www.wantgoo.com/stock/chart.aspx?stockno=3533","3533")</f>
        <v>3533</v>
      </c>
      <c r="C359" s="18">
        <f>VLOOKUP(3533,季財報!A:H,3)</f>
        <v>1</v>
      </c>
      <c r="D359" s="18">
        <f>VLOOKUP(3533,季財報!A:H,4)</f>
        <v>1</v>
      </c>
      <c r="E359" s="18">
        <f>VLOOKUP(3533,季財報!A:H,5)</f>
        <v>2</v>
      </c>
      <c r="F359" s="18">
        <f>VLOOKUP(3533,季財報!A:H,6)</f>
        <v>1</v>
      </c>
      <c r="G359" s="18">
        <f>VLOOKUP(3533,季財報!A:H,7)</f>
        <v>0</v>
      </c>
      <c r="N359" s="20">
        <f t="shared" si="5"/>
        <v>5</v>
      </c>
    </row>
    <row r="360" spans="1:14">
      <c r="A360" s="307" t="str">
        <f>HYPERLINK("http://www.wantgoo.com/stock/chart.aspx?stockno=8114","8114")</f>
        <v>8114</v>
      </c>
      <c r="C360" s="18">
        <f>VLOOKUP(8114,季財報!A:H,3)</f>
        <v>1</v>
      </c>
      <c r="D360" s="18">
        <f>VLOOKUP(8114,季財報!A:H,4)</f>
        <v>1</v>
      </c>
      <c r="E360" s="18">
        <f>VLOOKUP(8114,季財報!A:H,5)</f>
        <v>1</v>
      </c>
      <c r="F360" s="18">
        <f>VLOOKUP(8114,季財報!A:H,6)</f>
        <v>1</v>
      </c>
      <c r="G360" s="18">
        <f>VLOOKUP(8114,季財報!A:H,7)</f>
        <v>0</v>
      </c>
      <c r="N360" s="20">
        <f t="shared" si="5"/>
        <v>4</v>
      </c>
    </row>
    <row r="361" spans="1:14">
      <c r="A361" s="307" t="str">
        <f>HYPERLINK("http://www.wantgoo.com/stock/chart.aspx?stockno=3114","3114")</f>
        <v>3114</v>
      </c>
      <c r="C361" s="18">
        <f>VLOOKUP(3114,季財報!A:H,3)</f>
        <v>1</v>
      </c>
      <c r="D361" s="18">
        <f>VLOOKUP(3114,季財報!A:H,4)</f>
        <v>1</v>
      </c>
      <c r="E361" s="18">
        <f>VLOOKUP(3114,季財報!A:H,5)</f>
        <v>0</v>
      </c>
      <c r="F361" s="18">
        <f>VLOOKUP(3114,季財報!A:H,6)</f>
        <v>1</v>
      </c>
      <c r="G361" s="18">
        <f>VLOOKUP(3114,季財報!A:H,7)</f>
        <v>1</v>
      </c>
      <c r="N361" s="20">
        <f t="shared" si="5"/>
        <v>4</v>
      </c>
    </row>
    <row r="362" spans="1:14">
      <c r="A362" s="308" t="str">
        <f>HYPERLINK("http://www.wantgoo.com/stock/chart.aspx?stockno=3257","3257")</f>
        <v>3257</v>
      </c>
      <c r="C362" s="18">
        <f>VLOOKUP(3257,季財報!A:H,3)</f>
        <v>0</v>
      </c>
      <c r="D362" s="18">
        <f>VLOOKUP(3257,季財報!A:H,4)</f>
        <v>1</v>
      </c>
      <c r="E362" s="18">
        <f>VLOOKUP(3257,季財報!A:H,5)</f>
        <v>0</v>
      </c>
      <c r="F362" s="18">
        <f>VLOOKUP(3257,季財報!A:H,6)</f>
        <v>1</v>
      </c>
      <c r="G362" s="18">
        <f>VLOOKUP(3257,季財報!A:H,7)</f>
        <v>0</v>
      </c>
      <c r="N362" s="20">
        <f t="shared" si="5"/>
        <v>2</v>
      </c>
    </row>
    <row r="363" spans="1:14">
      <c r="A363" s="308" t="str">
        <f>HYPERLINK("http://www.wantgoo.com/stock/chart.aspx?stockno=6803","6803")</f>
        <v>6803</v>
      </c>
      <c r="C363" s="18">
        <f>VLOOKUP(6803,季財報!A:H,3)</f>
        <v>1</v>
      </c>
      <c r="D363" s="18">
        <f>VLOOKUP(6803,季財報!A:H,4)</f>
        <v>1</v>
      </c>
      <c r="E363" s="18">
        <f>VLOOKUP(6803,季財報!A:H,5)</f>
        <v>0</v>
      </c>
      <c r="F363" s="18">
        <f>VLOOKUP(6803,季財報!A:H,6)</f>
        <v>1</v>
      </c>
      <c r="G363" s="18">
        <f>VLOOKUP(6803,季財報!A:H,7)</f>
        <v>0</v>
      </c>
      <c r="N363" s="20">
        <f t="shared" si="5"/>
        <v>3</v>
      </c>
    </row>
    <row r="364" spans="1:14">
      <c r="A364" s="307" t="str">
        <f>HYPERLINK("http://www.wantgoo.com/stock/chart.aspx?stockno=8215","8215")</f>
        <v>8215</v>
      </c>
      <c r="C364" s="18">
        <f>VLOOKUP(8215,季財報!A:H,3)</f>
        <v>0</v>
      </c>
      <c r="D364" s="18">
        <f>VLOOKUP(8215,季財報!A:H,4)</f>
        <v>0</v>
      </c>
      <c r="E364" s="18">
        <f>VLOOKUP(8215,季財報!A:H,5)</f>
        <v>2</v>
      </c>
      <c r="F364" s="18">
        <f>VLOOKUP(8215,季財報!A:H,6)</f>
        <v>0</v>
      </c>
      <c r="G364" s="18">
        <f>VLOOKUP(8215,季財報!A:H,7)</f>
        <v>0</v>
      </c>
      <c r="N364" s="20">
        <f t="shared" si="5"/>
        <v>2</v>
      </c>
    </row>
    <row r="365" spans="1:14">
      <c r="A365" s="308" t="str">
        <f>HYPERLINK("http://www.wantgoo.com/stock/chart.aspx?stockno=2637","2637")</f>
        <v>2637</v>
      </c>
      <c r="C365" s="18">
        <f>VLOOKUP(2637,季財報!A:H,3)</f>
        <v>1</v>
      </c>
      <c r="D365" s="18">
        <f>VLOOKUP(2637,季財報!A:H,4)</f>
        <v>1</v>
      </c>
      <c r="E365" s="18">
        <f>VLOOKUP(2637,季財報!A:H,5)</f>
        <v>2</v>
      </c>
      <c r="F365" s="18">
        <f>VLOOKUP(2637,季財報!A:H,6)</f>
        <v>1</v>
      </c>
      <c r="G365" s="18">
        <f>VLOOKUP(2637,季財報!A:H,7)</f>
        <v>1</v>
      </c>
      <c r="N365" s="20">
        <f t="shared" si="5"/>
        <v>6</v>
      </c>
    </row>
    <row r="366" spans="1:14">
      <c r="A366" s="307" t="str">
        <f>HYPERLINK("http://www.wantgoo.com/stock/chart.aspx?stockno=1723","1723")</f>
        <v>1723</v>
      </c>
      <c r="C366" s="18">
        <f>VLOOKUP(1723,季財報!A:H,3)</f>
        <v>0</v>
      </c>
      <c r="D366" s="18">
        <f>VLOOKUP(1723,季財報!A:H,4)</f>
        <v>0</v>
      </c>
      <c r="E366" s="18">
        <f>VLOOKUP(1723,季財報!A:H,5)</f>
        <v>0</v>
      </c>
      <c r="F366" s="18">
        <f>VLOOKUP(1723,季財報!A:H,6)</f>
        <v>1</v>
      </c>
      <c r="G366" s="18">
        <f>VLOOKUP(1723,季財報!A:H,7)</f>
        <v>0</v>
      </c>
      <c r="N366" s="20">
        <f t="shared" si="5"/>
        <v>1</v>
      </c>
    </row>
    <row r="367" spans="1:14">
      <c r="A367" s="308" t="str">
        <f>HYPERLINK("http://www.wantgoo.com/stock/chart.aspx?stockno=8147","8147")</f>
        <v>8147</v>
      </c>
      <c r="C367" s="18">
        <f>VLOOKUP(8147,季財報!A:H,3)</f>
        <v>0</v>
      </c>
      <c r="D367" s="18">
        <f>VLOOKUP(8147,季財報!A:H,4)</f>
        <v>1</v>
      </c>
      <c r="E367" s="18">
        <f>VLOOKUP(8147,季財報!A:H,5)</f>
        <v>0</v>
      </c>
      <c r="F367" s="18">
        <f>VLOOKUP(8147,季財報!A:H,6)</f>
        <v>1</v>
      </c>
      <c r="G367" s="18">
        <f>VLOOKUP(8147,季財報!A:H,7)</f>
        <v>0</v>
      </c>
      <c r="N367" s="20">
        <f t="shared" si="5"/>
        <v>2</v>
      </c>
    </row>
    <row r="368" spans="1:14">
      <c r="A368" s="308" t="str">
        <f>HYPERLINK("http://www.wantgoo.com/stock/chart.aspx?stockno=6155","6155")</f>
        <v>6155</v>
      </c>
      <c r="C368" s="18">
        <f>VLOOKUP(6155,季財報!A:H,3)</f>
        <v>1</v>
      </c>
      <c r="D368" s="18">
        <f>VLOOKUP(6155,季財報!A:H,4)</f>
        <v>1</v>
      </c>
      <c r="E368" s="18">
        <f>VLOOKUP(6155,季財報!A:H,5)</f>
        <v>1</v>
      </c>
      <c r="F368" s="18">
        <f>VLOOKUP(6155,季財報!A:H,6)</f>
        <v>1</v>
      </c>
      <c r="G368" s="18">
        <f>VLOOKUP(6155,季財報!A:H,7)</f>
        <v>0</v>
      </c>
      <c r="N368" s="20">
        <f t="shared" si="5"/>
        <v>4</v>
      </c>
    </row>
    <row r="369" spans="1:14">
      <c r="A369" s="307" t="str">
        <f>HYPERLINK("http://www.wantgoo.com/stock/chart.aspx?stockno=8021","8021")</f>
        <v>8021</v>
      </c>
      <c r="C369" s="18">
        <f>VLOOKUP(8021,季財報!A:H,3)</f>
        <v>0</v>
      </c>
      <c r="D369" s="18">
        <f>VLOOKUP(8021,季財報!A:H,4)</f>
        <v>1</v>
      </c>
      <c r="E369" s="18">
        <f>VLOOKUP(8021,季財報!A:H,5)</f>
        <v>1</v>
      </c>
      <c r="F369" s="18">
        <f>VLOOKUP(8021,季財報!A:H,6)</f>
        <v>1</v>
      </c>
      <c r="G369" s="18">
        <f>VLOOKUP(8021,季財報!A:H,7)</f>
        <v>1</v>
      </c>
      <c r="N369" s="20">
        <f t="shared" si="5"/>
        <v>4</v>
      </c>
    </row>
    <row r="370" spans="1:14">
      <c r="A370" s="308" t="str">
        <f>HYPERLINK("http://www.wantgoo.com/stock/chart.aspx?stockno=3611","3611")</f>
        <v>3611</v>
      </c>
      <c r="C370" s="18">
        <f>VLOOKUP(3611,季財報!A:H,3)</f>
        <v>1</v>
      </c>
      <c r="D370" s="18">
        <f>VLOOKUP(3611,季財報!A:H,4)</f>
        <v>1</v>
      </c>
      <c r="E370" s="18">
        <f>VLOOKUP(3611,季財報!A:H,5)</f>
        <v>0</v>
      </c>
      <c r="F370" s="18">
        <f>VLOOKUP(3611,季財報!A:H,6)</f>
        <v>1</v>
      </c>
      <c r="G370" s="18">
        <f>VLOOKUP(3611,季財報!A:H,7)</f>
        <v>0</v>
      </c>
      <c r="N370" s="20">
        <f t="shared" si="5"/>
        <v>3</v>
      </c>
    </row>
    <row r="371" spans="1:14">
      <c r="A371" s="307" t="str">
        <f>HYPERLINK("http://www.wantgoo.com/stock/chart.aspx?stockno=2059","2059")</f>
        <v>2059</v>
      </c>
      <c r="C371" s="18">
        <f>VLOOKUP(2059,季財報!A:H,3)</f>
        <v>1</v>
      </c>
      <c r="D371" s="18">
        <f>VLOOKUP(2059,季財報!A:H,4)</f>
        <v>1</v>
      </c>
      <c r="E371" s="18">
        <f>VLOOKUP(2059,季財報!A:H,5)</f>
        <v>1</v>
      </c>
      <c r="F371" s="18">
        <f>VLOOKUP(2059,季財報!A:H,6)</f>
        <v>1</v>
      </c>
      <c r="G371" s="18">
        <f>VLOOKUP(2059,季財報!A:H,7)</f>
        <v>0</v>
      </c>
      <c r="N371" s="20">
        <f t="shared" si="5"/>
        <v>4</v>
      </c>
    </row>
    <row r="372" spans="1:14">
      <c r="A372" s="307" t="str">
        <f>HYPERLINK("http://www.wantgoo.com/stock/chart.aspx?stockno=2464","2464")</f>
        <v>2464</v>
      </c>
      <c r="C372" s="18">
        <f>VLOOKUP(2464,季財報!A:H,3)</f>
        <v>1</v>
      </c>
      <c r="D372" s="18">
        <f>VLOOKUP(2464,季財報!A:H,4)</f>
        <v>1</v>
      </c>
      <c r="E372" s="18">
        <f>VLOOKUP(2464,季財報!A:H,5)</f>
        <v>0</v>
      </c>
      <c r="F372" s="18">
        <f>VLOOKUP(2464,季財報!A:H,6)</f>
        <v>0</v>
      </c>
      <c r="G372" s="18">
        <f>VLOOKUP(2464,季財報!A:H,7)</f>
        <v>1</v>
      </c>
      <c r="N372" s="20">
        <f t="shared" si="5"/>
        <v>3</v>
      </c>
    </row>
    <row r="373" spans="1:14">
      <c r="A373" s="308" t="str">
        <f>HYPERLINK("http://www.wantgoo.com/stock/chart.aspx?stockno=2433","2433")</f>
        <v>2433</v>
      </c>
      <c r="C373" s="18">
        <f>VLOOKUP(2433,季財報!A:H,3)</f>
        <v>0</v>
      </c>
      <c r="D373" s="18">
        <f>VLOOKUP(2433,季財報!A:H,4)</f>
        <v>1</v>
      </c>
      <c r="E373" s="18">
        <f>VLOOKUP(2433,季財報!A:H,5)</f>
        <v>2</v>
      </c>
      <c r="F373" s="18">
        <f>VLOOKUP(2433,季財報!A:H,6)</f>
        <v>1</v>
      </c>
      <c r="G373" s="18">
        <f>VLOOKUP(2433,季財報!A:H,7)</f>
        <v>0</v>
      </c>
      <c r="N373" s="20">
        <f t="shared" si="5"/>
        <v>4</v>
      </c>
    </row>
    <row r="374" spans="1:14">
      <c r="A374" s="307" t="str">
        <f>HYPERLINK("http://www.wantgoo.com/stock/chart.aspx?stockno=8043","8043")</f>
        <v>8043</v>
      </c>
      <c r="C374" s="18">
        <f>VLOOKUP(8043,季財報!A:H,3)</f>
        <v>0</v>
      </c>
      <c r="D374" s="18">
        <f>VLOOKUP(8043,季財報!A:H,4)</f>
        <v>1</v>
      </c>
      <c r="E374" s="18">
        <f>VLOOKUP(8043,季財報!A:H,5)</f>
        <v>1</v>
      </c>
      <c r="F374" s="18">
        <f>VLOOKUP(8043,季財報!A:H,6)</f>
        <v>1</v>
      </c>
      <c r="G374" s="18">
        <f>VLOOKUP(8043,季財報!A:H,7)</f>
        <v>0</v>
      </c>
      <c r="N374" s="20">
        <f t="shared" si="5"/>
        <v>3</v>
      </c>
    </row>
    <row r="375" spans="1:14">
      <c r="A375" s="307" t="str">
        <f>HYPERLINK("http://www.wantgoo.com/stock/chart.aspx?stockno=8079","8079")</f>
        <v>8079</v>
      </c>
      <c r="C375" s="18">
        <f>VLOOKUP(8079,季財報!A:H,3)</f>
        <v>0</v>
      </c>
      <c r="D375" s="18">
        <f>VLOOKUP(8079,季財報!A:H,4)</f>
        <v>1</v>
      </c>
      <c r="E375" s="18">
        <f>VLOOKUP(8079,季財報!A:H,5)</f>
        <v>1</v>
      </c>
      <c r="F375" s="18">
        <f>VLOOKUP(8079,季財報!A:H,6)</f>
        <v>1</v>
      </c>
      <c r="G375" s="18">
        <f>VLOOKUP(8079,季財報!A:H,7)</f>
        <v>0</v>
      </c>
      <c r="N375" s="20">
        <f t="shared" si="5"/>
        <v>3</v>
      </c>
    </row>
    <row r="376" spans="1:14">
      <c r="A376" s="307" t="str">
        <f>HYPERLINK("http://www.wantgoo.com/stock/chart.aspx?stockno=9951","9951")</f>
        <v>9951</v>
      </c>
      <c r="C376" s="18">
        <f>VLOOKUP(9951,季財報!A:H,3)</f>
        <v>1</v>
      </c>
      <c r="D376" s="18">
        <f>VLOOKUP(9951,季財報!A:H,4)</f>
        <v>1</v>
      </c>
      <c r="E376" s="18">
        <f>VLOOKUP(9951,季財報!A:H,5)</f>
        <v>0</v>
      </c>
      <c r="F376" s="18">
        <f>VLOOKUP(9951,季財報!A:H,6)</f>
        <v>1</v>
      </c>
      <c r="G376" s="18">
        <f>VLOOKUP(9951,季財報!A:H,7)</f>
        <v>0</v>
      </c>
      <c r="N376" s="20">
        <f t="shared" si="5"/>
        <v>3</v>
      </c>
    </row>
    <row r="377" spans="1:14">
      <c r="A377" s="307" t="str">
        <f>HYPERLINK("http://www.wantgoo.com/stock/chart.aspx?stockno=1730","1730")</f>
        <v>1730</v>
      </c>
      <c r="C377" s="18">
        <f>VLOOKUP(1730,季財報!A:H,3)</f>
        <v>1</v>
      </c>
      <c r="D377" s="18">
        <f>VLOOKUP(1730,季財報!A:H,4)</f>
        <v>1</v>
      </c>
      <c r="E377" s="18">
        <f>VLOOKUP(1730,季財報!A:H,5)</f>
        <v>2</v>
      </c>
      <c r="F377" s="18">
        <f>VLOOKUP(1730,季財報!A:H,6)</f>
        <v>1</v>
      </c>
      <c r="G377" s="18">
        <f>VLOOKUP(1730,季財報!A:H,7)</f>
        <v>1</v>
      </c>
      <c r="N377" s="20">
        <f t="shared" si="5"/>
        <v>6</v>
      </c>
    </row>
    <row r="378" spans="1:14">
      <c r="A378" s="308" t="str">
        <f>HYPERLINK("http://www.wantgoo.com/stock/chart.aspx?stockno=1735","1735")</f>
        <v>1735</v>
      </c>
      <c r="C378" s="18">
        <f>VLOOKUP(1735,季財報!A:H,3)</f>
        <v>0</v>
      </c>
      <c r="D378" s="18">
        <f>VLOOKUP(1735,季財報!A:H,4)</f>
        <v>1</v>
      </c>
      <c r="E378" s="18">
        <f>VLOOKUP(1735,季財報!A:H,5)</f>
        <v>0</v>
      </c>
      <c r="F378" s="18">
        <f>VLOOKUP(1735,季財報!A:H,6)</f>
        <v>1</v>
      </c>
      <c r="G378" s="18">
        <f>VLOOKUP(1735,季財報!A:H,7)</f>
        <v>0</v>
      </c>
      <c r="N378" s="20">
        <f t="shared" si="5"/>
        <v>2</v>
      </c>
    </row>
    <row r="379" spans="1:14">
      <c r="A379" s="307" t="str">
        <f>HYPERLINK("http://www.wantgoo.com/stock/chart.aspx?stockno=1787","1787")</f>
        <v>1787</v>
      </c>
      <c r="C379" s="18">
        <f>VLOOKUP(1787,季財報!A:H,3)</f>
        <v>1</v>
      </c>
      <c r="D379" s="18">
        <f>VLOOKUP(1787,季財報!A:H,4)</f>
        <v>1</v>
      </c>
      <c r="E379" s="18">
        <f>VLOOKUP(1787,季財報!A:H,5)</f>
        <v>1</v>
      </c>
      <c r="F379" s="18">
        <f>VLOOKUP(1787,季財報!A:H,6)</f>
        <v>1</v>
      </c>
      <c r="G379" s="18">
        <f>VLOOKUP(1787,季財報!A:H,7)</f>
        <v>1</v>
      </c>
      <c r="N379" s="20">
        <f t="shared" si="5"/>
        <v>5</v>
      </c>
    </row>
    <row r="380" spans="1:14">
      <c r="A380" s="307" t="str">
        <f>HYPERLINK("http://www.wantgoo.com/stock/chart.aspx?stockno=1595","1595")</f>
        <v>1595</v>
      </c>
      <c r="C380" s="18">
        <f>VLOOKUP(1595,季財報!A:H,3)</f>
        <v>0</v>
      </c>
      <c r="D380" s="18">
        <f>VLOOKUP(1595,季財報!A:H,4)</f>
        <v>1</v>
      </c>
      <c r="E380" s="18">
        <f>VLOOKUP(1595,季財報!A:H,5)</f>
        <v>0</v>
      </c>
      <c r="F380" s="18">
        <f>VLOOKUP(1595,季財報!A:H,6)</f>
        <v>1</v>
      </c>
      <c r="G380" s="18">
        <f>VLOOKUP(1595,季財報!A:H,7)</f>
        <v>0</v>
      </c>
      <c r="N380" s="20">
        <f t="shared" si="5"/>
        <v>2</v>
      </c>
    </row>
    <row r="381" spans="1:14">
      <c r="A381" s="307" t="str">
        <f>HYPERLINK("http://www.wantgoo.com/stock/chart.aspx?stockno=2636","2636")</f>
        <v>2636</v>
      </c>
      <c r="C381" s="18">
        <f>VLOOKUP(2636,季財報!A:H,3)</f>
        <v>0</v>
      </c>
      <c r="D381" s="18">
        <f>VLOOKUP(2636,季財報!A:H,4)</f>
        <v>0</v>
      </c>
      <c r="E381" s="18">
        <f>VLOOKUP(2636,季財報!A:H,5)</f>
        <v>1</v>
      </c>
      <c r="F381" s="18">
        <f>VLOOKUP(2636,季財報!A:H,6)</f>
        <v>1</v>
      </c>
      <c r="G381" s="18">
        <f>VLOOKUP(2636,季財報!A:H,7)</f>
        <v>0</v>
      </c>
      <c r="N381" s="20">
        <f t="shared" si="5"/>
        <v>2</v>
      </c>
    </row>
    <row r="382" spans="1:14">
      <c r="A382" s="308" t="str">
        <f>HYPERLINK("http://www.wantgoo.com/stock/chart.aspx?stockno=3437","3437")</f>
        <v>3437</v>
      </c>
      <c r="C382" s="18">
        <f>VLOOKUP(3437,季財報!A:H,3)</f>
        <v>0</v>
      </c>
      <c r="D382" s="18">
        <f>VLOOKUP(3437,季財報!A:H,4)</f>
        <v>1</v>
      </c>
      <c r="E382" s="18">
        <f>VLOOKUP(3437,季財報!A:H,5)</f>
        <v>0</v>
      </c>
      <c r="F382" s="18">
        <f>VLOOKUP(3437,季財報!A:H,6)</f>
        <v>1</v>
      </c>
      <c r="G382" s="18">
        <f>VLOOKUP(3437,季財報!A:H,7)</f>
        <v>0</v>
      </c>
      <c r="N382" s="20">
        <f t="shared" si="5"/>
        <v>2</v>
      </c>
    </row>
    <row r="383" spans="1:14">
      <c r="A383" s="307" t="str">
        <f>HYPERLINK("http://www.wantgoo.com/stock/chart.aspx?stockno=2385","2385")</f>
        <v>2385</v>
      </c>
      <c r="C383" s="18">
        <f>VLOOKUP(2385,季財報!A:H,3)</f>
        <v>0</v>
      </c>
      <c r="D383" s="18">
        <f>VLOOKUP(2385,季財報!A:H,4)</f>
        <v>0</v>
      </c>
      <c r="E383" s="18">
        <f>VLOOKUP(2385,季財報!A:H,5)</f>
        <v>0</v>
      </c>
      <c r="F383" s="18">
        <f>VLOOKUP(2385,季財報!A:H,6)</f>
        <v>1</v>
      </c>
      <c r="G383" s="18">
        <f>VLOOKUP(2385,季財報!A:H,7)</f>
        <v>0</v>
      </c>
      <c r="N383" s="20">
        <f t="shared" si="5"/>
        <v>1</v>
      </c>
    </row>
    <row r="384" spans="1:14">
      <c r="A384" s="307" t="str">
        <f>HYPERLINK("http://www.wantgoo.com/stock/chart.aspx?stockno=8354","8354")</f>
        <v>8354</v>
      </c>
      <c r="C384" s="18">
        <f>VLOOKUP(8354,季財報!A:H,3)</f>
        <v>1</v>
      </c>
      <c r="D384" s="18">
        <f>VLOOKUP(8354,季財報!A:H,4)</f>
        <v>1</v>
      </c>
      <c r="E384" s="18">
        <f>VLOOKUP(8354,季財報!A:H,5)</f>
        <v>0</v>
      </c>
      <c r="F384" s="18">
        <f>VLOOKUP(8354,季財報!A:H,6)</f>
        <v>1</v>
      </c>
      <c r="G384" s="18">
        <f>VLOOKUP(8354,季財報!A:H,7)</f>
        <v>0</v>
      </c>
      <c r="N384" s="20">
        <f t="shared" si="5"/>
        <v>3</v>
      </c>
    </row>
    <row r="385" spans="1:14">
      <c r="A385" s="307" t="str">
        <f>HYPERLINK("http://www.wantgoo.com/stock/chart.aspx?stockno=3332","3332")</f>
        <v>3332</v>
      </c>
      <c r="C385" s="18">
        <f>VLOOKUP(3332,季財報!A:H,3)</f>
        <v>1</v>
      </c>
      <c r="D385" s="18">
        <f>VLOOKUP(3332,季財報!A:H,4)</f>
        <v>1</v>
      </c>
      <c r="E385" s="18">
        <f>VLOOKUP(3332,季財報!A:H,5)</f>
        <v>1</v>
      </c>
      <c r="F385" s="18">
        <f>VLOOKUP(3332,季財報!A:H,6)</f>
        <v>1</v>
      </c>
      <c r="G385" s="18">
        <f>VLOOKUP(3332,季財報!A:H,7)</f>
        <v>0</v>
      </c>
      <c r="N385" s="20">
        <f t="shared" si="5"/>
        <v>4</v>
      </c>
    </row>
    <row r="386" spans="1:14">
      <c r="A386" s="308" t="str">
        <f>HYPERLINK("http://www.wantgoo.com/stock/chart.aspx?stockno=4947","4947")</f>
        <v>4947</v>
      </c>
      <c r="C386" s="18">
        <f>VLOOKUP(4947,季財報!A:H,3)</f>
        <v>1</v>
      </c>
      <c r="D386" s="18">
        <f>VLOOKUP(4947,季財報!A:H,4)</f>
        <v>1</v>
      </c>
      <c r="E386" s="18">
        <f>VLOOKUP(4947,季財報!A:H,5)</f>
        <v>1</v>
      </c>
      <c r="F386" s="18">
        <f>VLOOKUP(4947,季財報!A:H,6)</f>
        <v>0</v>
      </c>
      <c r="G386" s="18">
        <f>VLOOKUP(4947,季財報!A:H,7)</f>
        <v>1</v>
      </c>
      <c r="N386" s="20">
        <f t="shared" si="5"/>
        <v>4</v>
      </c>
    </row>
    <row r="387" spans="1:14">
      <c r="A387" s="308" t="str">
        <f>HYPERLINK("http://www.wantgoo.com/stock/chart.aspx?stockno=9904","9904")</f>
        <v>9904</v>
      </c>
      <c r="C387" s="18">
        <f>VLOOKUP(9904,季財報!A:H,3)</f>
        <v>0</v>
      </c>
      <c r="D387" s="18">
        <f>VLOOKUP(9904,季財報!A:H,4)</f>
        <v>1</v>
      </c>
      <c r="E387" s="18">
        <f>VLOOKUP(9904,季財報!A:H,5)</f>
        <v>0</v>
      </c>
      <c r="F387" s="18">
        <f>VLOOKUP(9904,季財報!A:H,6)</f>
        <v>1</v>
      </c>
      <c r="G387" s="18">
        <f>VLOOKUP(9904,季財報!A:H,7)</f>
        <v>1</v>
      </c>
      <c r="N387" s="20">
        <f t="shared" si="5"/>
        <v>3</v>
      </c>
    </row>
    <row r="388" spans="1:14">
      <c r="A388" s="307" t="str">
        <f>HYPERLINK("http://www.wantgoo.com/stock/chart.aspx?stockno=2455","2455")</f>
        <v>2455</v>
      </c>
      <c r="C388" s="18">
        <f>VLOOKUP(2455,季財報!A:H,3)</f>
        <v>0</v>
      </c>
      <c r="D388" s="18">
        <f>VLOOKUP(2455,季財報!A:H,4)</f>
        <v>1</v>
      </c>
      <c r="E388" s="18">
        <f>VLOOKUP(2455,季財報!A:H,5)</f>
        <v>0</v>
      </c>
      <c r="F388" s="18">
        <f>VLOOKUP(2455,季財報!A:H,6)</f>
        <v>1</v>
      </c>
      <c r="G388" s="18">
        <f>VLOOKUP(2455,季財報!A:H,7)</f>
        <v>0</v>
      </c>
      <c r="N388" s="20">
        <f t="shared" ref="N388:N451" si="6">SUM(C388:M388)</f>
        <v>2</v>
      </c>
    </row>
    <row r="389" spans="1:14">
      <c r="A389" s="308" t="str">
        <f>HYPERLINK("http://www.wantgoo.com/stock/chart.aspx?stockno=3023","3023")</f>
        <v>3023</v>
      </c>
      <c r="C389" s="18">
        <f>VLOOKUP(3023,季財報!A:H,3)</f>
        <v>1</v>
      </c>
      <c r="D389" s="18">
        <f>VLOOKUP(3023,季財報!A:H,4)</f>
        <v>1</v>
      </c>
      <c r="E389" s="18">
        <f>VLOOKUP(3023,季財報!A:H,5)</f>
        <v>0</v>
      </c>
      <c r="F389" s="18">
        <f>VLOOKUP(3023,季財報!A:H,6)</f>
        <v>1</v>
      </c>
      <c r="G389" s="18">
        <f>VLOOKUP(3023,季財報!A:H,7)</f>
        <v>0</v>
      </c>
      <c r="N389" s="20">
        <f t="shared" si="6"/>
        <v>3</v>
      </c>
    </row>
    <row r="390" spans="1:14">
      <c r="A390" s="308" t="str">
        <f>HYPERLINK("http://www.wantgoo.com/stock/chart.aspx?stockno=2608","2608")</f>
        <v>2608</v>
      </c>
      <c r="C390" s="18">
        <f>VLOOKUP(2608,季財報!A:H,3)</f>
        <v>0</v>
      </c>
      <c r="D390" s="18">
        <f>VLOOKUP(2608,季財報!A:H,4)</f>
        <v>1</v>
      </c>
      <c r="E390" s="18">
        <f>VLOOKUP(2608,季財報!A:H,5)</f>
        <v>0</v>
      </c>
      <c r="F390" s="18">
        <f>VLOOKUP(2608,季財報!A:H,6)</f>
        <v>1</v>
      </c>
      <c r="G390" s="18">
        <f>VLOOKUP(2608,季財報!A:H,7)</f>
        <v>1</v>
      </c>
      <c r="N390" s="20">
        <f t="shared" si="6"/>
        <v>3</v>
      </c>
    </row>
    <row r="391" spans="1:14">
      <c r="A391" s="308" t="str">
        <f>HYPERLINK("http://www.wantgoo.com/stock/chart.aspx?stockno=3691","3691")</f>
        <v>3691</v>
      </c>
      <c r="C391" s="18">
        <f>VLOOKUP(3691,季財報!A:H,3)</f>
        <v>1</v>
      </c>
      <c r="D391" s="18">
        <f>VLOOKUP(3691,季財報!A:H,4)</f>
        <v>1</v>
      </c>
      <c r="E391" s="18">
        <f>VLOOKUP(3691,季財報!A:H,5)</f>
        <v>0</v>
      </c>
      <c r="F391" s="18">
        <f>VLOOKUP(3691,季財報!A:H,6)</f>
        <v>1</v>
      </c>
      <c r="G391" s="18">
        <f>VLOOKUP(3691,季財報!A:H,7)</f>
        <v>0</v>
      </c>
      <c r="N391" s="20">
        <f t="shared" si="6"/>
        <v>3</v>
      </c>
    </row>
    <row r="392" spans="1:14">
      <c r="A392" s="307" t="str">
        <f>HYPERLINK("http://www.wantgoo.com/stock/chart.aspx?stockno=3645","3645")</f>
        <v>3645</v>
      </c>
      <c r="C392" s="18">
        <f>VLOOKUP(3645,季財報!A:H,3)</f>
        <v>0</v>
      </c>
      <c r="D392" s="18">
        <f>VLOOKUP(3645,季財報!A:H,4)</f>
        <v>1</v>
      </c>
      <c r="E392" s="18">
        <f>VLOOKUP(3645,季財報!A:H,5)</f>
        <v>1</v>
      </c>
      <c r="F392" s="18">
        <f>VLOOKUP(3645,季財報!A:H,6)</f>
        <v>0</v>
      </c>
      <c r="G392" s="18">
        <f>VLOOKUP(3645,季財報!A:H,7)</f>
        <v>0</v>
      </c>
      <c r="N392" s="20">
        <f t="shared" si="6"/>
        <v>2</v>
      </c>
    </row>
    <row r="393" spans="1:14">
      <c r="A393" s="307" t="str">
        <f>HYPERLINK("http://www.wantgoo.com/stock/chart.aspx?stockno=3628","3628")</f>
        <v>3628</v>
      </c>
      <c r="C393" s="18">
        <f>VLOOKUP(3628,季財報!A:H,3)</f>
        <v>0</v>
      </c>
      <c r="D393" s="18">
        <f>VLOOKUP(3628,季財報!A:H,4)</f>
        <v>0</v>
      </c>
      <c r="E393" s="18">
        <f>VLOOKUP(3628,季財報!A:H,5)</f>
        <v>0</v>
      </c>
      <c r="F393" s="18">
        <f>VLOOKUP(3628,季財報!A:H,6)</f>
        <v>0</v>
      </c>
      <c r="G393" s="18">
        <f>VLOOKUP(3628,季財報!A:H,7)</f>
        <v>0</v>
      </c>
      <c r="N393" s="20">
        <f t="shared" si="6"/>
        <v>0</v>
      </c>
    </row>
    <row r="394" spans="1:14">
      <c r="A394" s="307" t="str">
        <f>HYPERLINK("http://www.wantgoo.com/stock/chart.aspx?stockno=4720","4720")</f>
        <v>4720</v>
      </c>
      <c r="C394" s="18">
        <f>VLOOKUP(4720,季財報!A:H,3)</f>
        <v>1</v>
      </c>
      <c r="D394" s="18">
        <f>VLOOKUP(4720,季財報!A:H,4)</f>
        <v>1</v>
      </c>
      <c r="E394" s="18">
        <f>VLOOKUP(4720,季財報!A:H,5)</f>
        <v>1</v>
      </c>
      <c r="F394" s="18">
        <f>VLOOKUP(4720,季財報!A:H,6)</f>
        <v>0</v>
      </c>
      <c r="G394" s="18">
        <f>VLOOKUP(4720,季財報!A:H,7)</f>
        <v>0</v>
      </c>
      <c r="N394" s="20">
        <f t="shared" si="6"/>
        <v>3</v>
      </c>
    </row>
    <row r="395" spans="1:14">
      <c r="A395" s="308" t="str">
        <f>HYPERLINK("http://www.wantgoo.com/stock/chart.aspx?stockno=3042","3042")</f>
        <v>3042</v>
      </c>
      <c r="C395" s="18">
        <f>VLOOKUP(3042,季財報!A:H,3)</f>
        <v>1</v>
      </c>
      <c r="D395" s="18">
        <f>VLOOKUP(3042,季財報!A:H,4)</f>
        <v>1</v>
      </c>
      <c r="E395" s="18">
        <f>VLOOKUP(3042,季財報!A:H,5)</f>
        <v>1</v>
      </c>
      <c r="F395" s="18">
        <f>VLOOKUP(3042,季財報!A:H,6)</f>
        <v>1</v>
      </c>
      <c r="G395" s="18">
        <f>VLOOKUP(3042,季財報!A:H,7)</f>
        <v>0</v>
      </c>
      <c r="N395" s="20">
        <f t="shared" si="6"/>
        <v>4</v>
      </c>
    </row>
    <row r="396" spans="1:14">
      <c r="A396" s="308" t="str">
        <f>HYPERLINK("http://www.wantgoo.com/stock/chart.aspx?stockno=2204","2204")</f>
        <v>2204</v>
      </c>
      <c r="C396" s="18">
        <f>VLOOKUP(2204,季財報!A:H,3)</f>
        <v>0</v>
      </c>
      <c r="D396" s="18">
        <f>VLOOKUP(2204,季財報!A:H,4)</f>
        <v>1</v>
      </c>
      <c r="E396" s="18">
        <f>VLOOKUP(2204,季財報!A:H,5)</f>
        <v>1</v>
      </c>
      <c r="F396" s="18">
        <f>VLOOKUP(2204,季財報!A:H,6)</f>
        <v>1</v>
      </c>
      <c r="G396" s="18">
        <f>VLOOKUP(2204,季財報!A:H,7)</f>
        <v>0</v>
      </c>
      <c r="N396" s="20">
        <f t="shared" si="6"/>
        <v>3</v>
      </c>
    </row>
    <row r="397" spans="1:14">
      <c r="A397" s="308" t="str">
        <f>HYPERLINK("http://www.wantgoo.com/stock/chart.aspx?stockno=3491","3491")</f>
        <v>3491</v>
      </c>
      <c r="C397" s="18">
        <f>VLOOKUP(3491,季財報!A:H,3)</f>
        <v>1</v>
      </c>
      <c r="D397" s="18">
        <f>VLOOKUP(3491,季財報!A:H,4)</f>
        <v>1</v>
      </c>
      <c r="E397" s="18">
        <f>VLOOKUP(3491,季財報!A:H,5)</f>
        <v>1</v>
      </c>
      <c r="F397" s="18">
        <f>VLOOKUP(3491,季財報!A:H,6)</f>
        <v>1</v>
      </c>
      <c r="G397" s="18">
        <f>VLOOKUP(3491,季財報!A:H,7)</f>
        <v>1</v>
      </c>
      <c r="N397" s="20">
        <f t="shared" si="6"/>
        <v>5</v>
      </c>
    </row>
    <row r="398" spans="1:14">
      <c r="A398" s="308" t="str">
        <f>HYPERLINK("http://www.wantgoo.com/stock/chart.aspx?stockno=6151","6151")</f>
        <v>6151</v>
      </c>
      <c r="C398" s="18">
        <f>VLOOKUP(6151,季財報!A:H,3)</f>
        <v>1</v>
      </c>
      <c r="D398" s="18">
        <f>VLOOKUP(6151,季財報!A:H,4)</f>
        <v>1</v>
      </c>
      <c r="E398" s="18">
        <f>VLOOKUP(6151,季財報!A:H,5)</f>
        <v>0</v>
      </c>
      <c r="F398" s="18">
        <f>VLOOKUP(6151,季財報!A:H,6)</f>
        <v>0</v>
      </c>
      <c r="G398" s="18">
        <f>VLOOKUP(6151,季財報!A:H,7)</f>
        <v>0</v>
      </c>
      <c r="N398" s="20">
        <f t="shared" si="6"/>
        <v>2</v>
      </c>
    </row>
    <row r="399" spans="1:14">
      <c r="A399" s="308" t="str">
        <f>HYPERLINK("http://www.wantgoo.com/stock/chart.aspx?stockno=4535","4535")</f>
        <v>4535</v>
      </c>
      <c r="C399" s="18">
        <f>VLOOKUP(4535,季財報!A:H,3)</f>
        <v>1</v>
      </c>
      <c r="D399" s="18">
        <f>VLOOKUP(4535,季財報!A:H,4)</f>
        <v>1</v>
      </c>
      <c r="E399" s="18">
        <f>VLOOKUP(4535,季財報!A:H,5)</f>
        <v>1</v>
      </c>
      <c r="F399" s="18">
        <f>VLOOKUP(4535,季財報!A:H,6)</f>
        <v>1</v>
      </c>
      <c r="G399" s="18">
        <f>VLOOKUP(4535,季財報!A:H,7)</f>
        <v>0</v>
      </c>
      <c r="N399" s="20">
        <f t="shared" si="6"/>
        <v>4</v>
      </c>
    </row>
    <row r="400" spans="1:14">
      <c r="A400" s="307" t="str">
        <f>HYPERLINK("http://www.wantgoo.com/stock/chart.aspx?stockno=3662","3662")</f>
        <v>3662</v>
      </c>
      <c r="C400" s="18">
        <f>VLOOKUP(3662,季財報!A:H,3)</f>
        <v>0</v>
      </c>
      <c r="D400" s="18">
        <f>VLOOKUP(3662,季財報!A:H,4)</f>
        <v>0</v>
      </c>
      <c r="E400" s="18">
        <f>VLOOKUP(3662,季財報!A:H,5)</f>
        <v>1</v>
      </c>
      <c r="F400" s="18">
        <f>VLOOKUP(3662,季財報!A:H,6)</f>
        <v>0</v>
      </c>
      <c r="G400" s="18">
        <f>VLOOKUP(3662,季財報!A:H,7)</f>
        <v>0</v>
      </c>
      <c r="N400" s="20">
        <f t="shared" si="6"/>
        <v>1</v>
      </c>
    </row>
    <row r="401" spans="1:14">
      <c r="A401" s="308" t="str">
        <f>HYPERLINK("http://www.wantgoo.com/stock/chart.aspx?stockno=2311","2311")</f>
        <v>2311</v>
      </c>
      <c r="C401" s="18">
        <f>VLOOKUP(2311,季財報!A:H,3)</f>
        <v>0</v>
      </c>
      <c r="D401" s="18">
        <f>VLOOKUP(2311,季財報!A:H,4)</f>
        <v>1</v>
      </c>
      <c r="E401" s="18">
        <f>VLOOKUP(2311,季財報!A:H,5)</f>
        <v>0</v>
      </c>
      <c r="F401" s="18">
        <f>VLOOKUP(2311,季財報!A:H,6)</f>
        <v>1</v>
      </c>
      <c r="G401" s="18">
        <f>VLOOKUP(2311,季財報!A:H,7)</f>
        <v>0</v>
      </c>
      <c r="N401" s="20">
        <f t="shared" si="6"/>
        <v>2</v>
      </c>
    </row>
    <row r="402" spans="1:14">
      <c r="A402" s="307" t="str">
        <f>HYPERLINK("http://www.wantgoo.com/stock/chart.aspx?stockno=6174","6174")</f>
        <v>6174</v>
      </c>
      <c r="C402" s="18">
        <f>VLOOKUP(6174,季財報!A:H,3)</f>
        <v>0</v>
      </c>
      <c r="D402" s="18">
        <f>VLOOKUP(6174,季財報!A:H,4)</f>
        <v>1</v>
      </c>
      <c r="E402" s="18">
        <f>VLOOKUP(6174,季財報!A:H,5)</f>
        <v>2</v>
      </c>
      <c r="F402" s="18">
        <f>VLOOKUP(6174,季財報!A:H,6)</f>
        <v>1</v>
      </c>
      <c r="G402" s="18">
        <f>VLOOKUP(6174,季財報!A:H,7)</f>
        <v>0</v>
      </c>
      <c r="N402" s="20">
        <f t="shared" si="6"/>
        <v>4</v>
      </c>
    </row>
    <row r="403" spans="1:14">
      <c r="A403" s="307" t="str">
        <f>HYPERLINK("http://www.wantgoo.com/stock/chart.aspx?stockno=6286","6286")</f>
        <v>6286</v>
      </c>
      <c r="C403" s="18">
        <f>VLOOKUP(6286,季財報!A:H,3)</f>
        <v>1</v>
      </c>
      <c r="D403" s="18">
        <f>VLOOKUP(6286,季財報!A:H,4)</f>
        <v>1</v>
      </c>
      <c r="E403" s="18">
        <f>VLOOKUP(6286,季財報!A:H,5)</f>
        <v>2</v>
      </c>
      <c r="F403" s="18">
        <f>VLOOKUP(6286,季財報!A:H,6)</f>
        <v>1</v>
      </c>
      <c r="G403" s="18">
        <f>VLOOKUP(6286,季財報!A:H,7)</f>
        <v>1</v>
      </c>
      <c r="N403" s="20">
        <f t="shared" si="6"/>
        <v>6</v>
      </c>
    </row>
    <row r="404" spans="1:14">
      <c r="A404" s="308" t="str">
        <f>HYPERLINK("http://www.wantgoo.com/stock/chart.aspx?stockno=8042","8042")</f>
        <v>8042</v>
      </c>
      <c r="C404" s="18">
        <f>VLOOKUP(8042,季財報!A:H,3)</f>
        <v>0</v>
      </c>
      <c r="D404" s="18">
        <f>VLOOKUP(8042,季財報!A:H,4)</f>
        <v>0</v>
      </c>
      <c r="E404" s="18">
        <f>VLOOKUP(8042,季財報!A:H,5)</f>
        <v>2</v>
      </c>
      <c r="F404" s="18">
        <f>VLOOKUP(8042,季財報!A:H,6)</f>
        <v>0</v>
      </c>
      <c r="G404" s="18">
        <f>VLOOKUP(8042,季財報!A:H,7)</f>
        <v>0</v>
      </c>
      <c r="N404" s="20">
        <f t="shared" si="6"/>
        <v>2</v>
      </c>
    </row>
    <row r="405" spans="1:14">
      <c r="A405" s="308" t="str">
        <f>HYPERLINK("http://www.wantgoo.com/stock/chart.aspx?stockno=2331","2331")</f>
        <v>2331</v>
      </c>
      <c r="C405" s="18">
        <f>VLOOKUP(2331,季財報!A:H,3)</f>
        <v>1</v>
      </c>
      <c r="D405" s="18">
        <f>VLOOKUP(2331,季財報!A:H,4)</f>
        <v>1</v>
      </c>
      <c r="E405" s="18">
        <f>VLOOKUP(2331,季財報!A:H,5)</f>
        <v>1</v>
      </c>
      <c r="F405" s="18">
        <f>VLOOKUP(2331,季財報!A:H,6)</f>
        <v>1</v>
      </c>
      <c r="G405" s="18">
        <f>VLOOKUP(2331,季財報!A:H,7)</f>
        <v>0</v>
      </c>
      <c r="N405" s="20">
        <f t="shared" si="6"/>
        <v>4</v>
      </c>
    </row>
    <row r="406" spans="1:14">
      <c r="A406" s="308" t="str">
        <f>HYPERLINK("http://www.wantgoo.com/stock/chart.aspx?stockno=2476","2476")</f>
        <v>2476</v>
      </c>
      <c r="C406" s="18">
        <f>VLOOKUP(2476,季財報!A:H,3)</f>
        <v>1</v>
      </c>
      <c r="D406" s="18">
        <f>VLOOKUP(2476,季財報!A:H,4)</f>
        <v>1</v>
      </c>
      <c r="E406" s="18">
        <f>VLOOKUP(2476,季財報!A:H,5)</f>
        <v>0</v>
      </c>
      <c r="F406" s="18">
        <f>VLOOKUP(2476,季財報!A:H,6)</f>
        <v>1</v>
      </c>
      <c r="G406" s="18">
        <f>VLOOKUP(2476,季財報!A:H,7)</f>
        <v>0</v>
      </c>
      <c r="N406" s="20">
        <f t="shared" si="6"/>
        <v>3</v>
      </c>
    </row>
    <row r="407" spans="1:14">
      <c r="A407" s="308" t="str">
        <f>HYPERLINK("http://www.wantgoo.com/stock/chart.aspx?stockno=2340","2340")</f>
        <v>2340</v>
      </c>
      <c r="C407" s="18">
        <f>VLOOKUP(2340,季財報!A:H,3)</f>
        <v>1</v>
      </c>
      <c r="D407" s="18">
        <f>VLOOKUP(2340,季財報!A:H,4)</f>
        <v>1</v>
      </c>
      <c r="E407" s="18">
        <f>VLOOKUP(2340,季財報!A:H,5)</f>
        <v>0</v>
      </c>
      <c r="F407" s="18">
        <f>VLOOKUP(2340,季財報!A:H,6)</f>
        <v>1</v>
      </c>
      <c r="G407" s="18">
        <f>VLOOKUP(2340,季財報!A:H,7)</f>
        <v>0</v>
      </c>
      <c r="N407" s="20">
        <f t="shared" si="6"/>
        <v>3</v>
      </c>
    </row>
    <row r="408" spans="1:14">
      <c r="A408" s="307" t="str">
        <f>HYPERLINK("http://www.wantgoo.com/stock/chart.aspx?stockno=1709","1709")</f>
        <v>1709</v>
      </c>
      <c r="C408" s="18">
        <f>VLOOKUP(1709,季財報!A:H,3)</f>
        <v>1</v>
      </c>
      <c r="D408" s="18">
        <f>VLOOKUP(1709,季財報!A:H,4)</f>
        <v>1</v>
      </c>
      <c r="E408" s="18">
        <f>VLOOKUP(1709,季財報!A:H,5)</f>
        <v>0</v>
      </c>
      <c r="F408" s="18">
        <f>VLOOKUP(1709,季財報!A:H,6)</f>
        <v>0</v>
      </c>
      <c r="G408" s="18">
        <f>VLOOKUP(1709,季財報!A:H,7)</f>
        <v>0</v>
      </c>
      <c r="N408" s="20">
        <f t="shared" si="6"/>
        <v>2</v>
      </c>
    </row>
    <row r="409" spans="1:14">
      <c r="A409" s="308" t="str">
        <f>HYPERLINK("http://www.wantgoo.com/stock/chart.aspx?stockno=4528","4528")</f>
        <v>4528</v>
      </c>
      <c r="C409" s="18">
        <f>VLOOKUP(4528,季財報!A:H,3)</f>
        <v>0</v>
      </c>
      <c r="D409" s="18">
        <f>VLOOKUP(4528,季財報!A:H,4)</f>
        <v>1</v>
      </c>
      <c r="E409" s="18">
        <f>VLOOKUP(4528,季財報!A:H,5)</f>
        <v>0</v>
      </c>
      <c r="F409" s="18">
        <f>VLOOKUP(4528,季財報!A:H,6)</f>
        <v>1</v>
      </c>
      <c r="G409" s="18">
        <f>VLOOKUP(4528,季財報!A:H,7)</f>
        <v>0</v>
      </c>
      <c r="N409" s="20">
        <f t="shared" si="6"/>
        <v>2</v>
      </c>
    </row>
    <row r="410" spans="1:14">
      <c r="A410" s="308" t="str">
        <f>HYPERLINK("http://www.wantgoo.com/stock/chart.aspx?stockno=6281","6281")</f>
        <v>6281</v>
      </c>
      <c r="C410" s="18">
        <f>VLOOKUP(6281,季財報!A:H,3)</f>
        <v>0</v>
      </c>
      <c r="D410" s="18">
        <f>VLOOKUP(6281,季財報!A:H,4)</f>
        <v>0</v>
      </c>
      <c r="E410" s="18">
        <f>VLOOKUP(6281,季財報!A:H,5)</f>
        <v>0</v>
      </c>
      <c r="F410" s="18">
        <f>VLOOKUP(6281,季財報!A:H,6)</f>
        <v>0</v>
      </c>
      <c r="G410" s="18">
        <f>VLOOKUP(6281,季財報!A:H,7)</f>
        <v>0</v>
      </c>
      <c r="N410" s="20">
        <f t="shared" si="6"/>
        <v>0</v>
      </c>
    </row>
    <row r="411" spans="1:14">
      <c r="A411" s="307" t="str">
        <f>HYPERLINK("http://www.wantgoo.com/stock/chart.aspx?stockno=1515","1515")</f>
        <v>1515</v>
      </c>
      <c r="C411" s="18">
        <f>VLOOKUP(1515,季財報!A:H,3)</f>
        <v>1</v>
      </c>
      <c r="D411" s="18">
        <f>VLOOKUP(1515,季財報!A:H,4)</f>
        <v>1</v>
      </c>
      <c r="E411" s="18">
        <f>VLOOKUP(1515,季財報!A:H,5)</f>
        <v>2</v>
      </c>
      <c r="F411" s="18">
        <f>VLOOKUP(1515,季財報!A:H,6)</f>
        <v>1</v>
      </c>
      <c r="G411" s="18">
        <f>VLOOKUP(1515,季財報!A:H,7)</f>
        <v>0</v>
      </c>
      <c r="N411" s="20">
        <f t="shared" si="6"/>
        <v>5</v>
      </c>
    </row>
    <row r="412" spans="1:14">
      <c r="A412" s="307" t="str">
        <f>HYPERLINK("http://www.wantgoo.com/stock/chart.aspx?stockno=1231","1231")</f>
        <v>1231</v>
      </c>
      <c r="C412" s="18">
        <f>VLOOKUP(1231,季財報!A:H,3)</f>
        <v>0</v>
      </c>
      <c r="D412" s="18">
        <f>VLOOKUP(1231,季財報!A:H,4)</f>
        <v>1</v>
      </c>
      <c r="E412" s="18">
        <f>VLOOKUP(1231,季財報!A:H,5)</f>
        <v>0</v>
      </c>
      <c r="F412" s="18">
        <f>VLOOKUP(1231,季財報!A:H,6)</f>
        <v>0</v>
      </c>
      <c r="G412" s="18">
        <f>VLOOKUP(1231,季財報!A:H,7)</f>
        <v>0</v>
      </c>
      <c r="N412" s="20">
        <f t="shared" si="6"/>
        <v>1</v>
      </c>
    </row>
    <row r="413" spans="1:14">
      <c r="A413" s="308" t="str">
        <f>HYPERLINK("http://www.wantgoo.com/stock/chart.aspx?stockno=3416","3416")</f>
        <v>3416</v>
      </c>
      <c r="C413" s="18">
        <f>VLOOKUP(3416,季財報!A:H,3)</f>
        <v>0</v>
      </c>
      <c r="D413" s="18">
        <f>VLOOKUP(3416,季財報!A:H,4)</f>
        <v>1</v>
      </c>
      <c r="E413" s="18">
        <f>VLOOKUP(3416,季財報!A:H,5)</f>
        <v>0</v>
      </c>
      <c r="F413" s="18">
        <f>VLOOKUP(3416,季財報!A:H,6)</f>
        <v>1</v>
      </c>
      <c r="G413" s="18">
        <f>VLOOKUP(3416,季財報!A:H,7)</f>
        <v>0</v>
      </c>
      <c r="N413" s="20">
        <f t="shared" si="6"/>
        <v>2</v>
      </c>
    </row>
    <row r="414" spans="1:14">
      <c r="A414" s="308" t="str">
        <f>HYPERLINK("http://www.wantgoo.com/stock/chart.aspx?stockno=1338","1338")</f>
        <v>1338</v>
      </c>
      <c r="C414" s="18">
        <f>VLOOKUP(1338,季財報!A:H,3)</f>
        <v>0</v>
      </c>
      <c r="D414" s="18">
        <f>VLOOKUP(1338,季財報!A:H,4)</f>
        <v>1</v>
      </c>
      <c r="E414" s="18">
        <f>VLOOKUP(1338,季財報!A:H,5)</f>
        <v>0</v>
      </c>
      <c r="F414" s="18">
        <f>VLOOKUP(1338,季財報!A:H,6)</f>
        <v>1</v>
      </c>
      <c r="G414" s="18">
        <f>VLOOKUP(1338,季財報!A:H,7)</f>
        <v>0</v>
      </c>
      <c r="N414" s="20">
        <f t="shared" si="6"/>
        <v>2</v>
      </c>
    </row>
    <row r="415" spans="1:14">
      <c r="A415" s="307" t="str">
        <f>HYPERLINK("http://www.wantgoo.com/stock/chart.aspx?stockno=4426","4426")</f>
        <v>4426</v>
      </c>
      <c r="C415" s="18">
        <f>VLOOKUP(4426,季財報!A:H,3)</f>
        <v>1</v>
      </c>
      <c r="D415" s="18">
        <f>VLOOKUP(4426,季財報!A:H,4)</f>
        <v>1</v>
      </c>
      <c r="E415" s="18">
        <f>VLOOKUP(4426,季財報!A:H,5)</f>
        <v>0</v>
      </c>
      <c r="F415" s="18">
        <f>VLOOKUP(4426,季財報!A:H,6)</f>
        <v>1</v>
      </c>
      <c r="G415" s="18">
        <f>VLOOKUP(4426,季財報!A:H,7)</f>
        <v>1</v>
      </c>
      <c r="N415" s="20">
        <f t="shared" si="6"/>
        <v>4</v>
      </c>
    </row>
    <row r="416" spans="1:14">
      <c r="A416" s="308" t="str">
        <f>HYPERLINK("http://www.wantgoo.com/stock/chart.aspx?stockno=2313","2313")</f>
        <v>2313</v>
      </c>
      <c r="C416" s="18">
        <f>VLOOKUP(2313,季財報!A:H,3)</f>
        <v>1</v>
      </c>
      <c r="D416" s="18">
        <f>VLOOKUP(2313,季財報!A:H,4)</f>
        <v>1</v>
      </c>
      <c r="E416" s="18">
        <f>VLOOKUP(2313,季財報!A:H,5)</f>
        <v>2</v>
      </c>
      <c r="F416" s="18">
        <f>VLOOKUP(2313,季財報!A:H,6)</f>
        <v>1</v>
      </c>
      <c r="G416" s="18">
        <f>VLOOKUP(2313,季財報!A:H,7)</f>
        <v>1</v>
      </c>
      <c r="N416" s="20">
        <f t="shared" si="6"/>
        <v>6</v>
      </c>
    </row>
    <row r="417" spans="1:14">
      <c r="A417" s="308" t="str">
        <f>HYPERLINK("http://www.wantgoo.com/stock/chart.aspx?stockno=3003","3003")</f>
        <v>3003</v>
      </c>
      <c r="C417" s="18">
        <f>VLOOKUP(3003,季財報!A:H,3)</f>
        <v>1</v>
      </c>
      <c r="D417" s="18">
        <f>VLOOKUP(3003,季財報!A:H,4)</f>
        <v>1</v>
      </c>
      <c r="E417" s="18">
        <f>VLOOKUP(3003,季財報!A:H,5)</f>
        <v>0</v>
      </c>
      <c r="F417" s="18">
        <f>VLOOKUP(3003,季財報!A:H,6)</f>
        <v>0</v>
      </c>
      <c r="G417" s="18">
        <f>VLOOKUP(3003,季財報!A:H,7)</f>
        <v>0</v>
      </c>
      <c r="N417" s="20">
        <f t="shared" si="6"/>
        <v>2</v>
      </c>
    </row>
    <row r="418" spans="1:14">
      <c r="A418" s="308" t="str">
        <f>HYPERLINK("http://www.wantgoo.com/stock/chart.aspx?stockno=2916","2916")</f>
        <v>2916</v>
      </c>
      <c r="C418" s="18">
        <f>VLOOKUP(2916,季財報!A:H,3)</f>
        <v>0</v>
      </c>
      <c r="D418" s="18">
        <f>VLOOKUP(2916,季財報!A:H,4)</f>
        <v>1</v>
      </c>
      <c r="E418" s="18">
        <f>VLOOKUP(2916,季財報!A:H,5)</f>
        <v>0</v>
      </c>
      <c r="F418" s="18">
        <f>VLOOKUP(2916,季財報!A:H,6)</f>
        <v>0</v>
      </c>
      <c r="G418" s="18">
        <f>VLOOKUP(2916,季財報!A:H,7)</f>
        <v>0</v>
      </c>
      <c r="N418" s="20">
        <f t="shared" si="6"/>
        <v>1</v>
      </c>
    </row>
    <row r="419" spans="1:14">
      <c r="A419" s="308" t="str">
        <f>HYPERLINK("http://www.wantgoo.com/stock/chart.aspx?stockno=2228","2228")</f>
        <v>2228</v>
      </c>
      <c r="C419" s="18">
        <f>VLOOKUP(2228,季財報!A:H,3)</f>
        <v>1</v>
      </c>
      <c r="D419" s="18">
        <f>VLOOKUP(2228,季財報!A:H,4)</f>
        <v>1</v>
      </c>
      <c r="E419" s="18">
        <f>VLOOKUP(2228,季財報!A:H,5)</f>
        <v>1</v>
      </c>
      <c r="F419" s="18">
        <f>VLOOKUP(2228,季財報!A:H,6)</f>
        <v>1</v>
      </c>
      <c r="G419" s="18">
        <f>VLOOKUP(2228,季財報!A:H,7)</f>
        <v>0</v>
      </c>
      <c r="N419" s="20">
        <f t="shared" si="6"/>
        <v>4</v>
      </c>
    </row>
    <row r="420" spans="1:14">
      <c r="A420" s="307" t="str">
        <f>HYPERLINK("http://www.wantgoo.com/stock/chart.aspx?stockno=6136","6136")</f>
        <v>6136</v>
      </c>
      <c r="C420" s="18">
        <f>VLOOKUP(6136,季財報!A:H,3)</f>
        <v>0</v>
      </c>
      <c r="D420" s="18">
        <f>VLOOKUP(6136,季財報!A:H,4)</f>
        <v>1</v>
      </c>
      <c r="E420" s="18">
        <f>VLOOKUP(6136,季財報!A:H,5)</f>
        <v>1</v>
      </c>
      <c r="F420" s="18">
        <f>VLOOKUP(6136,季財報!A:H,6)</f>
        <v>1</v>
      </c>
      <c r="G420" s="18">
        <f>VLOOKUP(6136,季財報!A:H,7)</f>
        <v>1</v>
      </c>
      <c r="N420" s="20">
        <f t="shared" si="6"/>
        <v>4</v>
      </c>
    </row>
    <row r="421" spans="1:14">
      <c r="A421" s="307" t="str">
        <f>HYPERLINK("http://www.wantgoo.com/stock/chart.aspx?stockno=8433","8433")</f>
        <v>8433</v>
      </c>
      <c r="C421" s="18">
        <f>VLOOKUP(8433,季財報!A:H,3)</f>
        <v>1</v>
      </c>
      <c r="D421" s="18">
        <f>VLOOKUP(8433,季財報!A:H,4)</f>
        <v>1</v>
      </c>
      <c r="E421" s="18">
        <f>VLOOKUP(8433,季財報!A:H,5)</f>
        <v>0</v>
      </c>
      <c r="F421" s="18">
        <f>VLOOKUP(8433,季財報!A:H,6)</f>
        <v>1</v>
      </c>
      <c r="G421" s="18">
        <f>VLOOKUP(8433,季財報!A:H,7)</f>
        <v>1</v>
      </c>
      <c r="N421" s="20">
        <f t="shared" si="6"/>
        <v>4</v>
      </c>
    </row>
    <row r="422" spans="1:14">
      <c r="A422" s="307" t="str">
        <f>HYPERLINK("http://www.wantgoo.com/stock/chart.aspx?stockno=3596","3596")</f>
        <v>3596</v>
      </c>
      <c r="C422" s="18">
        <f>VLOOKUP(3596,季財報!A:H,3)</f>
        <v>1</v>
      </c>
      <c r="D422" s="18">
        <f>VLOOKUP(3596,季財報!A:H,4)</f>
        <v>1</v>
      </c>
      <c r="E422" s="18">
        <f>VLOOKUP(3596,季財報!A:H,5)</f>
        <v>1</v>
      </c>
      <c r="F422" s="18">
        <f>VLOOKUP(3596,季財報!A:H,6)</f>
        <v>0</v>
      </c>
      <c r="G422" s="18">
        <f>VLOOKUP(3596,季財報!A:H,7)</f>
        <v>0</v>
      </c>
      <c r="N422" s="20">
        <f t="shared" si="6"/>
        <v>3</v>
      </c>
    </row>
    <row r="423" spans="1:14">
      <c r="A423" s="307" t="str">
        <f>HYPERLINK("http://www.wantgoo.com/stock/chart.aspx?stockno=6457","6457")</f>
        <v>6457</v>
      </c>
      <c r="C423" s="18">
        <f>VLOOKUP(6457,季財報!A:H,3)</f>
        <v>1</v>
      </c>
      <c r="D423" s="18">
        <f>VLOOKUP(6457,季財報!A:H,4)</f>
        <v>1</v>
      </c>
      <c r="E423" s="18">
        <f>VLOOKUP(6457,季財報!A:H,5)</f>
        <v>0</v>
      </c>
      <c r="F423" s="18">
        <f>VLOOKUP(6457,季財報!A:H,6)</f>
        <v>1</v>
      </c>
      <c r="G423" s="18">
        <f>VLOOKUP(6457,季財報!A:H,7)</f>
        <v>0</v>
      </c>
      <c r="N423" s="20">
        <f t="shared" si="6"/>
        <v>3</v>
      </c>
    </row>
    <row r="424" spans="1:14">
      <c r="A424" s="308" t="str">
        <f>HYPERLINK("http://www.wantgoo.com/stock/chart.aspx?stockno=3388","3388")</f>
        <v>3388</v>
      </c>
      <c r="C424" s="18">
        <f>VLOOKUP(3388,季財報!A:H,3)</f>
        <v>0</v>
      </c>
      <c r="D424" s="18">
        <f>VLOOKUP(3388,季財報!A:H,4)</f>
        <v>1</v>
      </c>
      <c r="E424" s="18">
        <f>VLOOKUP(3388,季財報!A:H,5)</f>
        <v>0</v>
      </c>
      <c r="F424" s="18">
        <f>VLOOKUP(3388,季財報!A:H,6)</f>
        <v>1</v>
      </c>
      <c r="G424" s="18">
        <f>VLOOKUP(3388,季財報!A:H,7)</f>
        <v>0</v>
      </c>
      <c r="N424" s="20">
        <f t="shared" si="6"/>
        <v>2</v>
      </c>
    </row>
    <row r="425" spans="1:14">
      <c r="A425" s="307" t="str">
        <f>HYPERLINK("http://www.wantgoo.com/stock/chart.aspx?stockno=5206","5206")</f>
        <v>5206</v>
      </c>
      <c r="C425" s="18">
        <f>VLOOKUP(5206,季財報!A:H,3)</f>
        <v>1</v>
      </c>
      <c r="D425" s="18">
        <f>VLOOKUP(5206,季財報!A:H,4)</f>
        <v>1</v>
      </c>
      <c r="E425" s="18">
        <f>VLOOKUP(5206,季財報!A:H,5)</f>
        <v>1</v>
      </c>
      <c r="F425" s="18">
        <f>VLOOKUP(5206,季財報!A:H,6)</f>
        <v>1</v>
      </c>
      <c r="G425" s="18">
        <f>VLOOKUP(5206,季財報!A:H,7)</f>
        <v>1</v>
      </c>
      <c r="N425" s="20">
        <f t="shared" si="6"/>
        <v>5</v>
      </c>
    </row>
    <row r="426" spans="1:14">
      <c r="A426" s="307" t="str">
        <f>HYPERLINK("http://www.wantgoo.com/stock/chart.aspx?stockno=4205","4205")</f>
        <v>4205</v>
      </c>
      <c r="C426" s="18">
        <f>VLOOKUP(4205,季財報!A:H,3)</f>
        <v>1</v>
      </c>
      <c r="D426" s="18">
        <f>VLOOKUP(4205,季財報!A:H,4)</f>
        <v>1</v>
      </c>
      <c r="E426" s="18">
        <f>VLOOKUP(4205,季財報!A:H,5)</f>
        <v>0</v>
      </c>
      <c r="F426" s="18">
        <f>VLOOKUP(4205,季財報!A:H,6)</f>
        <v>1</v>
      </c>
      <c r="G426" s="18">
        <f>VLOOKUP(4205,季財報!A:H,7)</f>
        <v>1</v>
      </c>
      <c r="N426" s="20">
        <f t="shared" si="6"/>
        <v>4</v>
      </c>
    </row>
    <row r="427" spans="1:14">
      <c r="A427" s="308" t="str">
        <f>HYPERLINK("http://www.wantgoo.com/stock/chart.aspx?stockno=6240","6240")</f>
        <v>6240</v>
      </c>
      <c r="C427" s="18">
        <f>VLOOKUP(6240,季財報!A:H,3)</f>
        <v>1</v>
      </c>
      <c r="D427" s="18">
        <f>VLOOKUP(6240,季財報!A:H,4)</f>
        <v>1</v>
      </c>
      <c r="E427" s="18">
        <f>VLOOKUP(6240,季財報!A:H,5)</f>
        <v>0</v>
      </c>
      <c r="F427" s="18">
        <f>VLOOKUP(6240,季財報!A:H,6)</f>
        <v>0</v>
      </c>
      <c r="G427" s="18">
        <f>VLOOKUP(6240,季財報!A:H,7)</f>
        <v>0</v>
      </c>
      <c r="N427" s="20">
        <f t="shared" si="6"/>
        <v>2</v>
      </c>
    </row>
    <row r="428" spans="1:14">
      <c r="A428" s="308" t="str">
        <f>HYPERLINK("http://www.wantgoo.com/stock/chart.aspx?stockno=8404","8404")</f>
        <v>8404</v>
      </c>
      <c r="C428" s="18">
        <f>VLOOKUP(8404,季財報!A:H,3)</f>
        <v>0</v>
      </c>
      <c r="D428" s="18">
        <f>VLOOKUP(8404,季財報!A:H,4)</f>
        <v>1</v>
      </c>
      <c r="E428" s="18">
        <f>VLOOKUP(8404,季財報!A:H,5)</f>
        <v>0</v>
      </c>
      <c r="F428" s="18">
        <f>VLOOKUP(8404,季財報!A:H,6)</f>
        <v>1</v>
      </c>
      <c r="G428" s="18">
        <f>VLOOKUP(8404,季財報!A:H,7)</f>
        <v>0</v>
      </c>
      <c r="N428" s="20">
        <f t="shared" si="6"/>
        <v>2</v>
      </c>
    </row>
    <row r="429" spans="1:14">
      <c r="A429" s="307" t="str">
        <f>HYPERLINK("http://www.wantgoo.com/stock/chart.aspx?stockno=4527","4527")</f>
        <v>4527</v>
      </c>
      <c r="C429" s="18">
        <f>VLOOKUP(4527,季財報!A:H,3)</f>
        <v>0</v>
      </c>
      <c r="D429" s="18">
        <f>VLOOKUP(4527,季財報!A:H,4)</f>
        <v>1</v>
      </c>
      <c r="E429" s="18">
        <f>VLOOKUP(4527,季財報!A:H,5)</f>
        <v>0</v>
      </c>
      <c r="F429" s="18">
        <f>VLOOKUP(4527,季財報!A:H,6)</f>
        <v>0</v>
      </c>
      <c r="G429" s="18">
        <f>VLOOKUP(4527,季財報!A:H,7)</f>
        <v>0</v>
      </c>
      <c r="N429" s="20">
        <f t="shared" si="6"/>
        <v>1</v>
      </c>
    </row>
    <row r="430" spans="1:14">
      <c r="A430" s="308" t="str">
        <f>HYPERLINK("http://www.wantgoo.com/stock/chart.aspx?stockno=1565","1565")</f>
        <v>1565</v>
      </c>
      <c r="C430" s="18">
        <f>VLOOKUP(1565,季財報!A:H,3)</f>
        <v>1</v>
      </c>
      <c r="D430" s="18">
        <f>VLOOKUP(1565,季財報!A:H,4)</f>
        <v>1</v>
      </c>
      <c r="E430" s="18">
        <f>VLOOKUP(1565,季財報!A:H,5)</f>
        <v>2</v>
      </c>
      <c r="F430" s="18">
        <f>VLOOKUP(1565,季財報!A:H,6)</f>
        <v>1</v>
      </c>
      <c r="G430" s="18">
        <f>VLOOKUP(1565,季財報!A:H,7)</f>
        <v>0</v>
      </c>
      <c r="N430" s="20">
        <f t="shared" si="6"/>
        <v>5</v>
      </c>
    </row>
    <row r="431" spans="1:14">
      <c r="A431" s="307" t="str">
        <f>HYPERLINK("http://www.wantgoo.com/stock/chart.aspx?stockno=1477","1477")</f>
        <v>1477</v>
      </c>
      <c r="C431" s="18">
        <f>VLOOKUP(1477,季財報!A:H,3)</f>
        <v>0</v>
      </c>
      <c r="D431" s="18">
        <f>VLOOKUP(1477,季財報!A:H,4)</f>
        <v>1</v>
      </c>
      <c r="E431" s="18">
        <f>VLOOKUP(1477,季財報!A:H,5)</f>
        <v>2</v>
      </c>
      <c r="F431" s="18">
        <f>VLOOKUP(1477,季財報!A:H,6)</f>
        <v>1</v>
      </c>
      <c r="G431" s="18">
        <f>VLOOKUP(1477,季財報!A:H,7)</f>
        <v>0</v>
      </c>
      <c r="N431" s="20">
        <f t="shared" si="6"/>
        <v>4</v>
      </c>
    </row>
    <row r="432" spans="1:14">
      <c r="A432" s="308" t="str">
        <f>HYPERLINK("http://www.wantgoo.com/stock/chart.aspx?stockno=5487","5487")</f>
        <v>5487</v>
      </c>
      <c r="C432" s="18">
        <f>VLOOKUP(5487,季財報!A:H,3)</f>
        <v>0</v>
      </c>
      <c r="D432" s="18">
        <f>VLOOKUP(5487,季財報!A:H,4)</f>
        <v>1</v>
      </c>
      <c r="E432" s="18">
        <f>VLOOKUP(5487,季財報!A:H,5)</f>
        <v>0</v>
      </c>
      <c r="F432" s="18">
        <f>VLOOKUP(5487,季財報!A:H,6)</f>
        <v>1</v>
      </c>
      <c r="G432" s="18">
        <f>VLOOKUP(5487,季財報!A:H,7)</f>
        <v>0</v>
      </c>
      <c r="N432" s="20">
        <f t="shared" si="6"/>
        <v>2</v>
      </c>
    </row>
    <row r="433" spans="1:14">
      <c r="A433" s="308" t="str">
        <f>HYPERLINK("http://www.wantgoo.com/stock/chart.aspx?stockno=8401","8401")</f>
        <v>8401</v>
      </c>
      <c r="C433" s="18">
        <f>VLOOKUP(8401,季財報!A:H,3)</f>
        <v>0</v>
      </c>
      <c r="D433" s="18">
        <f>VLOOKUP(8401,季財報!A:H,4)</f>
        <v>0</v>
      </c>
      <c r="E433" s="18">
        <f>VLOOKUP(8401,季財報!A:H,5)</f>
        <v>0</v>
      </c>
      <c r="F433" s="18">
        <f>VLOOKUP(8401,季財報!A:H,6)</f>
        <v>1</v>
      </c>
      <c r="G433" s="18">
        <f>VLOOKUP(8401,季財報!A:H,7)</f>
        <v>0</v>
      </c>
      <c r="N433" s="20">
        <f t="shared" si="6"/>
        <v>1</v>
      </c>
    </row>
    <row r="434" spans="1:14">
      <c r="A434" s="308" t="str">
        <f>HYPERLINK("http://www.wantgoo.com/stock/chart.aspx?stockno=5287","5287")</f>
        <v>5287</v>
      </c>
      <c r="C434" s="18">
        <f>VLOOKUP(5287,季財報!A:H,3)</f>
        <v>0</v>
      </c>
      <c r="D434" s="18">
        <f>VLOOKUP(5287,季財報!A:H,4)</f>
        <v>0</v>
      </c>
      <c r="E434" s="18">
        <f>VLOOKUP(5287,季財報!A:H,5)</f>
        <v>0</v>
      </c>
      <c r="F434" s="18">
        <f>VLOOKUP(5287,季財報!A:H,6)</f>
        <v>1</v>
      </c>
      <c r="G434" s="18">
        <f>VLOOKUP(5287,季財報!A:H,7)</f>
        <v>1</v>
      </c>
      <c r="N434" s="20">
        <f t="shared" si="6"/>
        <v>2</v>
      </c>
    </row>
    <row r="435" spans="1:14">
      <c r="A435" s="308" t="str">
        <f>HYPERLINK("http://www.wantgoo.com/stock/chart.aspx?stockno=6426","6426")</f>
        <v>6426</v>
      </c>
      <c r="C435" s="18">
        <f>VLOOKUP(6426,季財報!A:H,3)</f>
        <v>1</v>
      </c>
      <c r="D435" s="18">
        <f>VLOOKUP(6426,季財報!A:H,4)</f>
        <v>1</v>
      </c>
      <c r="E435" s="18">
        <f>VLOOKUP(6426,季財報!A:H,5)</f>
        <v>0</v>
      </c>
      <c r="F435" s="18">
        <f>VLOOKUP(6426,季財報!A:H,6)</f>
        <v>1</v>
      </c>
      <c r="G435" s="18">
        <f>VLOOKUP(6426,季財報!A:H,7)</f>
        <v>0</v>
      </c>
      <c r="N435" s="20">
        <f t="shared" si="6"/>
        <v>3</v>
      </c>
    </row>
    <row r="436" spans="1:14">
      <c r="A436" s="308" t="str">
        <f>HYPERLINK("http://www.wantgoo.com/stock/chart.aspx?stockno=1104","1104")</f>
        <v>1104</v>
      </c>
      <c r="C436" s="18">
        <f>VLOOKUP(1104,季財報!A:H,3)</f>
        <v>0</v>
      </c>
      <c r="D436" s="18">
        <f>VLOOKUP(1104,季財報!A:H,4)</f>
        <v>0</v>
      </c>
      <c r="E436" s="18">
        <f>VLOOKUP(1104,季財報!A:H,5)</f>
        <v>1</v>
      </c>
      <c r="F436" s="18">
        <f>VLOOKUP(1104,季財報!A:H,6)</f>
        <v>1</v>
      </c>
      <c r="G436" s="18">
        <f>VLOOKUP(1104,季財報!A:H,7)</f>
        <v>0</v>
      </c>
      <c r="N436" s="20">
        <f t="shared" si="6"/>
        <v>2</v>
      </c>
    </row>
    <row r="437" spans="1:14">
      <c r="A437" s="307" t="str">
        <f>HYPERLINK("http://www.wantgoo.com/stock/chart.aspx?stockno=3152","3152")</f>
        <v>3152</v>
      </c>
      <c r="C437" s="18">
        <f>VLOOKUP(3152,季財報!A:H,3)</f>
        <v>1</v>
      </c>
      <c r="D437" s="18">
        <f>VLOOKUP(3152,季財報!A:H,4)</f>
        <v>1</v>
      </c>
      <c r="E437" s="18">
        <f>VLOOKUP(3152,季財報!A:H,5)</f>
        <v>1</v>
      </c>
      <c r="F437" s="18">
        <f>VLOOKUP(3152,季財報!A:H,6)</f>
        <v>1</v>
      </c>
      <c r="G437" s="18">
        <f>VLOOKUP(3152,季財報!A:H,7)</f>
        <v>1</v>
      </c>
      <c r="N437" s="20">
        <f t="shared" si="6"/>
        <v>5</v>
      </c>
    </row>
    <row r="438" spans="1:14">
      <c r="A438" s="308" t="str">
        <f>HYPERLINK("http://www.wantgoo.com/stock/chart.aspx?stockno=2393","2393")</f>
        <v>2393</v>
      </c>
      <c r="C438" s="18">
        <f>VLOOKUP(2393,季財報!A:H,3)</f>
        <v>0</v>
      </c>
      <c r="D438" s="18">
        <f>VLOOKUP(2393,季財報!A:H,4)</f>
        <v>1</v>
      </c>
      <c r="E438" s="18">
        <f>VLOOKUP(2393,季財報!A:H,5)</f>
        <v>0</v>
      </c>
      <c r="F438" s="18">
        <f>VLOOKUP(2393,季財報!A:H,6)</f>
        <v>1</v>
      </c>
      <c r="G438" s="18">
        <f>VLOOKUP(2393,季財報!A:H,7)</f>
        <v>0</v>
      </c>
      <c r="N438" s="20">
        <f t="shared" si="6"/>
        <v>2</v>
      </c>
    </row>
    <row r="439" spans="1:14">
      <c r="A439" s="308" t="str">
        <f>HYPERLINK("http://www.wantgoo.com/stock/chart.aspx?stockno=6261","6261")</f>
        <v>6261</v>
      </c>
      <c r="C439" s="18">
        <f>VLOOKUP(6261,季財報!A:H,3)</f>
        <v>0</v>
      </c>
      <c r="D439" s="18">
        <f>VLOOKUP(6261,季財報!A:H,4)</f>
        <v>0</v>
      </c>
      <c r="E439" s="18">
        <f>VLOOKUP(6261,季財報!A:H,5)</f>
        <v>0</v>
      </c>
      <c r="F439" s="18">
        <f>VLOOKUP(6261,季財報!A:H,6)</f>
        <v>1</v>
      </c>
      <c r="G439" s="18">
        <f>VLOOKUP(6261,季財報!A:H,7)</f>
        <v>0</v>
      </c>
      <c r="N439" s="20">
        <f t="shared" si="6"/>
        <v>1</v>
      </c>
    </row>
    <row r="440" spans="1:14">
      <c r="A440" s="308" t="str">
        <f>HYPERLINK("http://www.wantgoo.com/stock/chart.aspx?stockno=1229","1229")</f>
        <v>1229</v>
      </c>
      <c r="C440" s="18">
        <f>VLOOKUP(1229,季財報!A:H,3)</f>
        <v>0</v>
      </c>
      <c r="D440" s="18">
        <f>VLOOKUP(1229,季財報!A:H,4)</f>
        <v>0</v>
      </c>
      <c r="E440" s="18">
        <f>VLOOKUP(1229,季財報!A:H,5)</f>
        <v>0</v>
      </c>
      <c r="F440" s="18">
        <f>VLOOKUP(1229,季財報!A:H,6)</f>
        <v>1</v>
      </c>
      <c r="G440" s="18">
        <f>VLOOKUP(1229,季財報!A:H,7)</f>
        <v>0</v>
      </c>
      <c r="N440" s="20">
        <f t="shared" si="6"/>
        <v>1</v>
      </c>
    </row>
    <row r="441" spans="1:14">
      <c r="A441" s="308" t="str">
        <f>HYPERLINK("http://www.wantgoo.com/stock/chart.aspx?stockno=1589","1589")</f>
        <v>1589</v>
      </c>
      <c r="C441" s="18">
        <f>VLOOKUP(1589,季財報!A:H,3)</f>
        <v>1</v>
      </c>
      <c r="D441" s="18">
        <f>VLOOKUP(1589,季財報!A:H,4)</f>
        <v>1</v>
      </c>
      <c r="E441" s="18">
        <f>VLOOKUP(1589,季財報!A:H,5)</f>
        <v>0</v>
      </c>
      <c r="F441" s="18">
        <f>VLOOKUP(1589,季財報!A:H,6)</f>
        <v>1</v>
      </c>
      <c r="G441" s="18">
        <f>VLOOKUP(1589,季財報!A:H,7)</f>
        <v>1</v>
      </c>
      <c r="N441" s="20">
        <f t="shared" si="6"/>
        <v>4</v>
      </c>
    </row>
    <row r="442" spans="1:14">
      <c r="A442" s="308" t="str">
        <f>HYPERLINK("http://www.wantgoo.com/stock/chart.aspx?stockno=5432","5432")</f>
        <v>5432</v>
      </c>
      <c r="C442" s="18">
        <f>VLOOKUP(5432,季財報!A:H,3)</f>
        <v>1</v>
      </c>
      <c r="D442" s="18">
        <f>VLOOKUP(5432,季財報!A:H,4)</f>
        <v>1</v>
      </c>
      <c r="E442" s="18">
        <f>VLOOKUP(5432,季財報!A:H,5)</f>
        <v>0</v>
      </c>
      <c r="F442" s="18">
        <f>VLOOKUP(5432,季財報!A:H,6)</f>
        <v>1</v>
      </c>
      <c r="G442" s="18">
        <f>VLOOKUP(5432,季財報!A:H,7)</f>
        <v>0</v>
      </c>
      <c r="N442" s="20">
        <f t="shared" si="6"/>
        <v>3</v>
      </c>
    </row>
    <row r="443" spans="1:14">
      <c r="A443" s="308" t="str">
        <f>HYPERLINK("http://www.wantgoo.com/stock/chart.aspx?stockno=1522","1522")</f>
        <v>1522</v>
      </c>
      <c r="C443" s="18">
        <f>VLOOKUP(1522,季財報!A:H,3)</f>
        <v>1</v>
      </c>
      <c r="D443" s="18">
        <f>VLOOKUP(1522,季財報!A:H,4)</f>
        <v>1</v>
      </c>
      <c r="E443" s="18">
        <f>VLOOKUP(1522,季財報!A:H,5)</f>
        <v>0</v>
      </c>
      <c r="F443" s="18">
        <f>VLOOKUP(1522,季財報!A:H,6)</f>
        <v>1</v>
      </c>
      <c r="G443" s="18">
        <f>VLOOKUP(1522,季財報!A:H,7)</f>
        <v>0</v>
      </c>
      <c r="N443" s="20">
        <f t="shared" si="6"/>
        <v>3</v>
      </c>
    </row>
    <row r="444" spans="1:14">
      <c r="A444" s="307" t="str">
        <f>HYPERLINK("http://www.wantgoo.com/stock/chart.aspx?stockno=6412","6412")</f>
        <v>6412</v>
      </c>
      <c r="C444" s="18">
        <f>VLOOKUP(6412,季財報!A:H,3)</f>
        <v>0</v>
      </c>
      <c r="D444" s="18">
        <f>VLOOKUP(6412,季財報!A:H,4)</f>
        <v>0</v>
      </c>
      <c r="E444" s="18">
        <f>VLOOKUP(6412,季財報!A:H,5)</f>
        <v>0</v>
      </c>
      <c r="F444" s="18">
        <f>VLOOKUP(6412,季財報!A:H,6)</f>
        <v>1</v>
      </c>
      <c r="G444" s="18">
        <f>VLOOKUP(6412,季財報!A:H,7)</f>
        <v>0</v>
      </c>
      <c r="N444" s="20">
        <f t="shared" si="6"/>
        <v>1</v>
      </c>
    </row>
    <row r="445" spans="1:14">
      <c r="A445" s="308" t="str">
        <f>HYPERLINK("http://www.wantgoo.com/stock/chart.aspx?stockno=4163","4163")</f>
        <v>4163</v>
      </c>
      <c r="C445" s="18">
        <f>VLOOKUP(4163,季財報!A:H,3)</f>
        <v>1</v>
      </c>
      <c r="D445" s="18">
        <f>VLOOKUP(4163,季財報!A:H,4)</f>
        <v>1</v>
      </c>
      <c r="E445" s="18">
        <f>VLOOKUP(4163,季財報!A:H,5)</f>
        <v>0</v>
      </c>
      <c r="F445" s="18">
        <f>VLOOKUP(4163,季財報!A:H,6)</f>
        <v>1</v>
      </c>
      <c r="G445" s="18">
        <f>VLOOKUP(4163,季財報!A:H,7)</f>
        <v>0</v>
      </c>
      <c r="N445" s="20">
        <f t="shared" si="6"/>
        <v>3</v>
      </c>
    </row>
    <row r="446" spans="1:14">
      <c r="A446" s="308" t="str">
        <f>HYPERLINK("http://www.wantgoo.com/stock/chart.aspx?stockno=4927","4927")</f>
        <v>4927</v>
      </c>
      <c r="C446" s="18">
        <f>VLOOKUP(4927,季財報!A:H,3)</f>
        <v>1</v>
      </c>
      <c r="D446" s="18">
        <f>VLOOKUP(4927,季財報!A:H,4)</f>
        <v>1</v>
      </c>
      <c r="E446" s="18">
        <f>VLOOKUP(4927,季財報!A:H,5)</f>
        <v>0</v>
      </c>
      <c r="F446" s="18">
        <f>VLOOKUP(4927,季財報!A:H,6)</f>
        <v>0</v>
      </c>
      <c r="G446" s="18">
        <f>VLOOKUP(4927,季財報!A:H,7)</f>
        <v>1</v>
      </c>
      <c r="N446" s="20">
        <f t="shared" si="6"/>
        <v>3</v>
      </c>
    </row>
    <row r="447" spans="1:14">
      <c r="A447" s="307" t="str">
        <f>HYPERLINK("http://www.wantgoo.com/stock/chart.aspx?stockno=2303","2303")</f>
        <v>2303</v>
      </c>
      <c r="C447" s="18">
        <f>VLOOKUP(2303,季財報!A:H,3)</f>
        <v>0</v>
      </c>
      <c r="D447" s="18">
        <f>VLOOKUP(2303,季財報!A:H,4)</f>
        <v>0</v>
      </c>
      <c r="E447" s="18">
        <f>VLOOKUP(2303,季財報!A:H,5)</f>
        <v>0</v>
      </c>
      <c r="F447" s="18">
        <f>VLOOKUP(2303,季財報!A:H,6)</f>
        <v>1</v>
      </c>
      <c r="G447" s="18">
        <f>VLOOKUP(2303,季財報!A:H,7)</f>
        <v>1</v>
      </c>
      <c r="N447" s="20">
        <f t="shared" si="6"/>
        <v>2</v>
      </c>
    </row>
    <row r="448" spans="1:14">
      <c r="A448" s="308" t="str">
        <f>HYPERLINK("http://www.wantgoo.com/stock/chart.aspx?stockno=3479","3479")</f>
        <v>3479</v>
      </c>
      <c r="C448" s="18">
        <f>VLOOKUP(3479,季財報!A:H,3)</f>
        <v>1</v>
      </c>
      <c r="D448" s="18">
        <f>VLOOKUP(3479,季財報!A:H,4)</f>
        <v>1</v>
      </c>
      <c r="E448" s="18">
        <f>VLOOKUP(3479,季財報!A:H,5)</f>
        <v>2</v>
      </c>
      <c r="F448" s="18">
        <f>VLOOKUP(3479,季財報!A:H,6)</f>
        <v>1</v>
      </c>
      <c r="G448" s="18">
        <f>VLOOKUP(3479,季財報!A:H,7)</f>
        <v>1</v>
      </c>
      <c r="N448" s="20">
        <f t="shared" si="6"/>
        <v>6</v>
      </c>
    </row>
    <row r="449" spans="1:19">
      <c r="A449" s="307" t="str">
        <f>HYPERLINK("http://www.wantgoo.com/stock/chart.aspx?stockno=4755","4755")</f>
        <v>4755</v>
      </c>
      <c r="C449" s="18">
        <f>VLOOKUP(4755,季財報!A:H,3)</f>
        <v>1</v>
      </c>
      <c r="D449" s="18">
        <f>VLOOKUP(4755,季財報!A:H,4)</f>
        <v>1</v>
      </c>
      <c r="E449" s="18">
        <f>VLOOKUP(4755,季財報!A:H,5)</f>
        <v>0</v>
      </c>
      <c r="F449" s="18">
        <f>VLOOKUP(4755,季財報!A:H,6)</f>
        <v>1</v>
      </c>
      <c r="G449" s="18">
        <f>VLOOKUP(4755,季財報!A:H,7)</f>
        <v>0</v>
      </c>
      <c r="N449" s="20">
        <f t="shared" si="6"/>
        <v>3</v>
      </c>
    </row>
    <row r="450" spans="1:19">
      <c r="A450" s="307" t="str">
        <f>HYPERLINK("http://www.wantgoo.com/stock/chart.aspx?stockno=6147","6147")</f>
        <v>6147</v>
      </c>
      <c r="C450" s="18">
        <f>VLOOKUP(6147,季財報!A:H,3)</f>
        <v>0</v>
      </c>
      <c r="D450" s="18">
        <f>VLOOKUP(6147,季財報!A:H,4)</f>
        <v>1</v>
      </c>
      <c r="E450" s="18">
        <f>VLOOKUP(6147,季財報!A:H,5)</f>
        <v>2</v>
      </c>
      <c r="F450" s="18">
        <f>VLOOKUP(6147,季財報!A:H,6)</f>
        <v>1</v>
      </c>
      <c r="G450" s="18">
        <f>VLOOKUP(6147,季財報!A:H,7)</f>
        <v>0</v>
      </c>
      <c r="N450" s="20">
        <f t="shared" si="6"/>
        <v>4</v>
      </c>
    </row>
    <row r="451" spans="1:19">
      <c r="A451" s="307" t="str">
        <f>HYPERLINK("http://www.wantgoo.com/stock/chart.aspx?stockno=1707","1707")</f>
        <v>1707</v>
      </c>
      <c r="C451" s="18">
        <f>VLOOKUP(1707,季財報!A:H,3)</f>
        <v>0</v>
      </c>
      <c r="D451" s="18">
        <f>VLOOKUP(1707,季財報!A:H,4)</f>
        <v>1</v>
      </c>
      <c r="E451" s="18">
        <f>VLOOKUP(1707,季財報!A:H,5)</f>
        <v>0</v>
      </c>
      <c r="F451" s="18">
        <f>VLOOKUP(1707,季財報!A:H,6)</f>
        <v>0</v>
      </c>
      <c r="G451" s="18">
        <f>VLOOKUP(1707,季財報!A:H,7)</f>
        <v>1</v>
      </c>
      <c r="N451" s="20">
        <f t="shared" si="6"/>
        <v>2</v>
      </c>
    </row>
    <row r="452" spans="1:19">
      <c r="A452" s="308" t="str">
        <f>HYPERLINK("http://www.wantgoo.com/stock/chart.aspx?stockno=3189","3189")</f>
        <v>3189</v>
      </c>
      <c r="C452" s="18">
        <f>VLOOKUP(3189,季財報!A:H,3)</f>
        <v>0</v>
      </c>
      <c r="D452" s="18">
        <f>VLOOKUP(3189,季財報!A:H,4)</f>
        <v>1</v>
      </c>
      <c r="E452" s="18">
        <f>VLOOKUP(3189,季財報!A:H,5)</f>
        <v>0</v>
      </c>
      <c r="F452" s="18">
        <f>VLOOKUP(3189,季財報!A:H,6)</f>
        <v>1</v>
      </c>
      <c r="G452" s="18">
        <f>VLOOKUP(3189,季財報!A:H,7)</f>
        <v>0</v>
      </c>
      <c r="N452" s="20">
        <f t="shared" ref="N452:N515" si="7">SUM(C452:M452)</f>
        <v>2</v>
      </c>
    </row>
    <row r="453" spans="1:19">
      <c r="A453" s="308" t="str">
        <f>HYPERLINK("http://www.wantgoo.com/stock/chart.aspx?stockno=4736","4736")</f>
        <v>4736</v>
      </c>
      <c r="C453" s="18">
        <f>VLOOKUP(4736,季財報!A:H,3)</f>
        <v>1</v>
      </c>
      <c r="D453" s="18">
        <f>VLOOKUP(4736,季財報!A:H,4)</f>
        <v>1</v>
      </c>
      <c r="E453" s="18">
        <f>VLOOKUP(4736,季財報!A:H,5)</f>
        <v>1</v>
      </c>
      <c r="F453" s="18">
        <f>VLOOKUP(4736,季財報!A:H,6)</f>
        <v>1</v>
      </c>
      <c r="G453" s="18">
        <f>VLOOKUP(4736,季財報!A:H,7)</f>
        <v>1</v>
      </c>
      <c r="N453" s="20">
        <f t="shared" si="7"/>
        <v>5</v>
      </c>
    </row>
    <row r="454" spans="1:19" s="317" customFormat="1">
      <c r="A454" s="309" t="str">
        <f>HYPERLINK("http://www.wantgoo.com/stock/chart.aspx?stockno=3665","3665")</f>
        <v>3665</v>
      </c>
      <c r="B454" s="310"/>
      <c r="C454" s="311">
        <f>VLOOKUP(3665,季財報!A:H,3)</f>
        <v>1</v>
      </c>
      <c r="D454" s="311">
        <f>VLOOKUP(3665,季財報!A:H,4)</f>
        <v>1</v>
      </c>
      <c r="E454" s="311">
        <f>VLOOKUP(3665,季財報!A:H,5)</f>
        <v>0</v>
      </c>
      <c r="F454" s="311">
        <f>VLOOKUP(3665,季財報!A:H,6)</f>
        <v>1</v>
      </c>
      <c r="G454" s="311">
        <f>VLOOKUP(3665,季財報!A:H,7)</f>
        <v>0</v>
      </c>
      <c r="H454" s="312"/>
      <c r="I454" s="312"/>
      <c r="J454" s="312"/>
      <c r="K454" s="312"/>
      <c r="L454" s="312"/>
      <c r="M454" s="313"/>
      <c r="N454" s="312">
        <f t="shared" si="7"/>
        <v>3</v>
      </c>
      <c r="O454" s="314"/>
      <c r="P454" s="314"/>
      <c r="Q454" s="314"/>
      <c r="R454" s="314"/>
      <c r="S454" s="315"/>
    </row>
    <row r="455" spans="1:19">
      <c r="A455" s="308" t="str">
        <f>HYPERLINK("http://www.wantgoo.com/stock/chart.aspx?stockno=6146","6146")</f>
        <v>6146</v>
      </c>
      <c r="C455" s="18">
        <f>VLOOKUP(6146,季財報!A:H,3)</f>
        <v>0</v>
      </c>
      <c r="D455" s="18">
        <f>VLOOKUP(6146,季財報!A:H,4)</f>
        <v>1</v>
      </c>
      <c r="E455" s="18">
        <f>VLOOKUP(6146,季財報!A:H,5)</f>
        <v>0</v>
      </c>
      <c r="F455" s="18">
        <f>VLOOKUP(6146,季財報!A:H,6)</f>
        <v>1</v>
      </c>
      <c r="G455" s="18">
        <f>VLOOKUP(6146,季財報!A:H,7)</f>
        <v>0</v>
      </c>
      <c r="N455" s="20">
        <f t="shared" si="7"/>
        <v>2</v>
      </c>
    </row>
    <row r="456" spans="1:19">
      <c r="A456" s="308" t="str">
        <f>HYPERLINK("http://www.wantgoo.com/stock/chart.aspx?stockno=8349","8349")</f>
        <v>8349</v>
      </c>
      <c r="C456" s="18">
        <f>VLOOKUP(8349,季財報!A:H,3)</f>
        <v>0</v>
      </c>
      <c r="D456" s="18">
        <f>VLOOKUP(8349,季財報!A:H,4)</f>
        <v>1</v>
      </c>
      <c r="E456" s="18">
        <f>VLOOKUP(8349,季財報!A:H,5)</f>
        <v>0</v>
      </c>
      <c r="F456" s="18">
        <f>VLOOKUP(8349,季財報!A:H,6)</f>
        <v>0</v>
      </c>
      <c r="G456" s="18">
        <f>VLOOKUP(8349,季財報!A:H,7)</f>
        <v>0</v>
      </c>
      <c r="N456" s="20">
        <f t="shared" si="7"/>
        <v>1</v>
      </c>
    </row>
    <row r="457" spans="1:19">
      <c r="A457" s="307" t="str">
        <f>HYPERLINK("http://www.wantgoo.com/stock/chart.aspx?stockno=4119","4119")</f>
        <v>4119</v>
      </c>
      <c r="C457" s="18">
        <f>VLOOKUP(4119,季財報!A:H,3)</f>
        <v>0</v>
      </c>
      <c r="D457" s="18">
        <f>VLOOKUP(4119,季財報!A:H,4)</f>
        <v>1</v>
      </c>
      <c r="E457" s="18">
        <f>VLOOKUP(4119,季財報!A:H,5)</f>
        <v>0</v>
      </c>
      <c r="F457" s="18">
        <f>VLOOKUP(4119,季財報!A:H,6)</f>
        <v>1</v>
      </c>
      <c r="G457" s="18">
        <f>VLOOKUP(4119,季財報!A:H,7)</f>
        <v>0</v>
      </c>
      <c r="N457" s="20">
        <f t="shared" si="7"/>
        <v>2</v>
      </c>
    </row>
    <row r="458" spans="1:19">
      <c r="A458" s="308" t="str">
        <f>HYPERLINK("http://www.wantgoo.com/stock/chart.aspx?stockno=8446","8446")</f>
        <v>8446</v>
      </c>
      <c r="C458" s="18">
        <f>VLOOKUP(8446,季財報!A:H,3)</f>
        <v>0</v>
      </c>
      <c r="D458" s="18">
        <f>VLOOKUP(8446,季財報!A:H,4)</f>
        <v>1</v>
      </c>
      <c r="E458" s="18">
        <f>VLOOKUP(8446,季財報!A:H,5)</f>
        <v>0</v>
      </c>
      <c r="F458" s="18">
        <f>VLOOKUP(8446,季財報!A:H,6)</f>
        <v>1</v>
      </c>
      <c r="G458" s="18">
        <f>VLOOKUP(8446,季財報!A:H,7)</f>
        <v>0</v>
      </c>
      <c r="N458" s="20">
        <f t="shared" si="7"/>
        <v>2</v>
      </c>
    </row>
    <row r="459" spans="1:19">
      <c r="A459" s="307" t="str">
        <f>HYPERLINK("http://www.wantgoo.com/stock/chart.aspx?stockno=2480","2480")</f>
        <v>2480</v>
      </c>
      <c r="C459" s="18">
        <f>VLOOKUP(2480,季財報!A:H,3)</f>
        <v>0</v>
      </c>
      <c r="D459" s="18">
        <f>VLOOKUP(2480,季財報!A:H,4)</f>
        <v>1</v>
      </c>
      <c r="E459" s="18">
        <f>VLOOKUP(2480,季財報!A:H,5)</f>
        <v>1</v>
      </c>
      <c r="F459" s="18">
        <f>VLOOKUP(2480,季財報!A:H,6)</f>
        <v>1</v>
      </c>
      <c r="G459" s="18">
        <f>VLOOKUP(2480,季財報!A:H,7)</f>
        <v>0</v>
      </c>
      <c r="N459" s="20">
        <f t="shared" si="7"/>
        <v>3</v>
      </c>
    </row>
    <row r="460" spans="1:19">
      <c r="A460" s="308" t="str">
        <f>HYPERLINK("http://www.wantgoo.com/stock/chart.aspx?stockno=2231","2231")</f>
        <v>2231</v>
      </c>
      <c r="C460" s="18">
        <f>VLOOKUP(2231,季財報!A:H,3)</f>
        <v>1</v>
      </c>
      <c r="D460" s="18">
        <f>VLOOKUP(2231,季財報!A:H,4)</f>
        <v>1</v>
      </c>
      <c r="E460" s="18">
        <f>VLOOKUP(2231,季財報!A:H,5)</f>
        <v>1</v>
      </c>
      <c r="F460" s="18">
        <f>VLOOKUP(2231,季財報!A:H,6)</f>
        <v>1</v>
      </c>
      <c r="G460" s="18">
        <f>VLOOKUP(2231,季財報!A:H,7)</f>
        <v>0</v>
      </c>
      <c r="N460" s="20">
        <f t="shared" si="7"/>
        <v>4</v>
      </c>
    </row>
    <row r="461" spans="1:19" s="317" customFormat="1">
      <c r="A461" s="309" t="str">
        <f>HYPERLINK("http://www.wantgoo.com/stock/chart.aspx?stockno=3044","3044")</f>
        <v>3044</v>
      </c>
      <c r="B461" s="310"/>
      <c r="C461" s="311">
        <f>VLOOKUP(3044,季財報!A:H,3)</f>
        <v>1</v>
      </c>
      <c r="D461" s="311">
        <f>VLOOKUP(3044,季財報!A:H,4)</f>
        <v>1</v>
      </c>
      <c r="E461" s="311">
        <f>VLOOKUP(3044,季財報!A:H,5)</f>
        <v>2</v>
      </c>
      <c r="F461" s="311">
        <f>VLOOKUP(3044,季財報!A:H,6)</f>
        <v>1</v>
      </c>
      <c r="G461" s="311">
        <f>VLOOKUP(3044,季財報!A:H,7)</f>
        <v>0</v>
      </c>
      <c r="H461" s="312"/>
      <c r="I461" s="312"/>
      <c r="J461" s="312"/>
      <c r="K461" s="312"/>
      <c r="L461" s="312"/>
      <c r="M461" s="313"/>
      <c r="N461" s="312">
        <f t="shared" si="7"/>
        <v>5</v>
      </c>
      <c r="O461" s="314"/>
      <c r="P461" s="314"/>
      <c r="Q461" s="314"/>
      <c r="R461" s="314"/>
      <c r="S461" s="315"/>
    </row>
    <row r="462" spans="1:19">
      <c r="A462" s="308" t="str">
        <f>HYPERLINK("http://www.wantgoo.com/stock/chart.aspx?stockno=2456","2456")</f>
        <v>2456</v>
      </c>
      <c r="C462" s="18">
        <f>VLOOKUP(2456,季財報!A:H,3)</f>
        <v>1</v>
      </c>
      <c r="D462" s="18">
        <f>VLOOKUP(2456,季財報!A:H,4)</f>
        <v>1</v>
      </c>
      <c r="E462" s="18">
        <f>VLOOKUP(2456,季財報!A:H,5)</f>
        <v>0</v>
      </c>
      <c r="F462" s="18">
        <f>VLOOKUP(2456,季財報!A:H,6)</f>
        <v>1</v>
      </c>
      <c r="G462" s="18">
        <f>VLOOKUP(2456,季財報!A:H,7)</f>
        <v>1</v>
      </c>
      <c r="N462" s="20">
        <f t="shared" si="7"/>
        <v>4</v>
      </c>
    </row>
    <row r="463" spans="1:19">
      <c r="A463" s="307" t="str">
        <f>HYPERLINK("http://www.wantgoo.com/stock/chart.aspx?stockno=2233","2233")</f>
        <v>2233</v>
      </c>
      <c r="C463" s="18">
        <f>VLOOKUP(2233,季財報!A:H,3)</f>
        <v>0</v>
      </c>
      <c r="D463" s="18">
        <f>VLOOKUP(2233,季財報!A:H,4)</f>
        <v>1</v>
      </c>
      <c r="E463" s="18">
        <f>VLOOKUP(2233,季財報!A:H,5)</f>
        <v>0</v>
      </c>
      <c r="F463" s="18">
        <f>VLOOKUP(2233,季財報!A:H,6)</f>
        <v>0</v>
      </c>
      <c r="G463" s="18">
        <f>VLOOKUP(2233,季財報!A:H,7)</f>
        <v>0</v>
      </c>
      <c r="N463" s="20">
        <f t="shared" si="7"/>
        <v>1</v>
      </c>
    </row>
    <row r="464" spans="1:19">
      <c r="A464" s="308" t="str">
        <f>HYPERLINK("http://www.wantgoo.com/stock/chart.aspx?stockno=8437","8437")</f>
        <v>8437</v>
      </c>
      <c r="C464" s="18">
        <f>VLOOKUP(8437,季財報!A:H,3)</f>
        <v>1</v>
      </c>
      <c r="D464" s="18">
        <f>VLOOKUP(8437,季財報!A:H,4)</f>
        <v>1</v>
      </c>
      <c r="E464" s="18">
        <f>VLOOKUP(8437,季財報!A:H,5)</f>
        <v>1</v>
      </c>
      <c r="F464" s="18">
        <f>VLOOKUP(8437,季財報!A:H,6)</f>
        <v>1</v>
      </c>
      <c r="G464" s="18">
        <f>VLOOKUP(8437,季財報!A:H,7)</f>
        <v>1</v>
      </c>
      <c r="N464" s="20">
        <f t="shared" si="7"/>
        <v>5</v>
      </c>
    </row>
    <row r="465" spans="1:19">
      <c r="A465" s="307" t="str">
        <f>HYPERLINK("http://www.wantgoo.com/stock/chart.aspx?stockno=2707","2707")</f>
        <v>2707</v>
      </c>
      <c r="C465" s="18">
        <f>VLOOKUP(2707,季財報!A:H,3)</f>
        <v>0</v>
      </c>
      <c r="D465" s="18">
        <f>VLOOKUP(2707,季財報!A:H,4)</f>
        <v>0</v>
      </c>
      <c r="E465" s="18">
        <f>VLOOKUP(2707,季財報!A:H,5)</f>
        <v>0</v>
      </c>
      <c r="F465" s="18">
        <f>VLOOKUP(2707,季財報!A:H,6)</f>
        <v>1</v>
      </c>
      <c r="G465" s="18">
        <f>VLOOKUP(2707,季財報!A:H,7)</f>
        <v>0</v>
      </c>
      <c r="N465" s="20">
        <f t="shared" si="7"/>
        <v>1</v>
      </c>
    </row>
    <row r="466" spans="1:19">
      <c r="A466" s="307" t="str">
        <f>HYPERLINK("http://www.wantgoo.com/stock/chart.aspx?stockno=2376","2376")</f>
        <v>2376</v>
      </c>
      <c r="C466" s="18">
        <f>VLOOKUP(2376,季財報!A:H,3)</f>
        <v>1</v>
      </c>
      <c r="D466" s="18">
        <f>VLOOKUP(2376,季財報!A:H,4)</f>
        <v>1</v>
      </c>
      <c r="E466" s="18">
        <f>VLOOKUP(2376,季財報!A:H,5)</f>
        <v>2</v>
      </c>
      <c r="F466" s="18">
        <f>VLOOKUP(2376,季財報!A:H,6)</f>
        <v>0</v>
      </c>
      <c r="G466" s="18">
        <f>VLOOKUP(2376,季財報!A:H,7)</f>
        <v>0</v>
      </c>
      <c r="N466" s="20">
        <f t="shared" si="7"/>
        <v>4</v>
      </c>
    </row>
    <row r="467" spans="1:19">
      <c r="A467" s="308" t="str">
        <f>HYPERLINK("http://www.wantgoo.com/stock/chart.aspx?stockno=3226","3226")</f>
        <v>3226</v>
      </c>
      <c r="C467" s="18">
        <f>VLOOKUP(3226,季財報!A:H,3)</f>
        <v>1</v>
      </c>
      <c r="D467" s="18">
        <f>VLOOKUP(3226,季財報!A:H,4)</f>
        <v>1</v>
      </c>
      <c r="E467" s="18">
        <f>VLOOKUP(3226,季財報!A:H,5)</f>
        <v>0</v>
      </c>
      <c r="F467" s="18">
        <f>VLOOKUP(3226,季財報!A:H,6)</f>
        <v>1</v>
      </c>
      <c r="G467" s="18">
        <f>VLOOKUP(3226,季財報!A:H,7)</f>
        <v>0</v>
      </c>
      <c r="N467" s="20">
        <f t="shared" si="7"/>
        <v>3</v>
      </c>
    </row>
    <row r="468" spans="1:19">
      <c r="A468" s="307" t="str">
        <f>HYPERLINK("http://www.wantgoo.com/stock/chart.aspx?stockno=3297","3297")</f>
        <v>3297</v>
      </c>
      <c r="C468" s="18">
        <f>VLOOKUP(3297,季財報!A:H,3)</f>
        <v>0</v>
      </c>
      <c r="D468" s="18">
        <f>VLOOKUP(3297,季財報!A:H,4)</f>
        <v>1</v>
      </c>
      <c r="E468" s="18">
        <f>VLOOKUP(3297,季財報!A:H,5)</f>
        <v>0</v>
      </c>
      <c r="F468" s="18">
        <f>VLOOKUP(3297,季財報!A:H,6)</f>
        <v>0</v>
      </c>
      <c r="G468" s="18">
        <f>VLOOKUP(3297,季財報!A:H,7)</f>
        <v>0</v>
      </c>
      <c r="N468" s="20">
        <f t="shared" si="7"/>
        <v>1</v>
      </c>
    </row>
    <row r="469" spans="1:19">
      <c r="A469" s="308" t="str">
        <f>HYPERLINK("http://www.wantgoo.com/stock/chart.aspx?stockno=2373","2373")</f>
        <v>2373</v>
      </c>
      <c r="C469" s="18">
        <f>VLOOKUP(2373,季財報!A:H,3)</f>
        <v>0</v>
      </c>
      <c r="D469" s="18">
        <f>VLOOKUP(2373,季財報!A:H,4)</f>
        <v>1</v>
      </c>
      <c r="E469" s="18">
        <f>VLOOKUP(2373,季財報!A:H,5)</f>
        <v>0</v>
      </c>
      <c r="F469" s="18">
        <f>VLOOKUP(2373,季財報!A:H,6)</f>
        <v>0</v>
      </c>
      <c r="G469" s="18">
        <f>VLOOKUP(2373,季財報!A:H,7)</f>
        <v>0</v>
      </c>
      <c r="N469" s="20">
        <f t="shared" si="7"/>
        <v>1</v>
      </c>
    </row>
    <row r="470" spans="1:19">
      <c r="A470" s="307" t="str">
        <f>HYPERLINK("http://www.wantgoo.com/stock/chart.aspx?stockno=6230","6230")</f>
        <v>6230</v>
      </c>
      <c r="C470" s="18">
        <f>VLOOKUP(6230,季財報!A:H,3)</f>
        <v>1</v>
      </c>
      <c r="D470" s="18">
        <f>VLOOKUP(6230,季財報!A:H,4)</f>
        <v>1</v>
      </c>
      <c r="E470" s="18">
        <f>VLOOKUP(6230,季財報!A:H,5)</f>
        <v>1</v>
      </c>
      <c r="F470" s="18">
        <f>VLOOKUP(6230,季財報!A:H,6)</f>
        <v>1</v>
      </c>
      <c r="G470" s="18">
        <f>VLOOKUP(6230,季財報!A:H,7)</f>
        <v>0</v>
      </c>
      <c r="N470" s="20">
        <f t="shared" si="7"/>
        <v>4</v>
      </c>
    </row>
    <row r="471" spans="1:19">
      <c r="A471" s="308" t="str">
        <f>HYPERLINK("http://www.wantgoo.com/stock/chart.aspx?stockno=5536","5536")</f>
        <v>5536</v>
      </c>
      <c r="C471" s="18">
        <f>VLOOKUP(5536,季財報!A:H,3)</f>
        <v>0</v>
      </c>
      <c r="D471" s="18">
        <f>VLOOKUP(5536,季財報!A:H,4)</f>
        <v>1</v>
      </c>
      <c r="E471" s="18">
        <f>VLOOKUP(5536,季財報!A:H,5)</f>
        <v>0</v>
      </c>
      <c r="F471" s="18">
        <f>VLOOKUP(5536,季財報!A:H,6)</f>
        <v>1</v>
      </c>
      <c r="G471" s="18">
        <f>VLOOKUP(5536,季財報!A:H,7)</f>
        <v>0</v>
      </c>
      <c r="N471" s="20">
        <f t="shared" si="7"/>
        <v>2</v>
      </c>
    </row>
    <row r="472" spans="1:19">
      <c r="A472" s="307" t="str">
        <f>HYPERLINK("http://www.wantgoo.com/stock/chart.aspx?stockno=5007","5007")</f>
        <v>5007</v>
      </c>
      <c r="C472" s="18">
        <f>VLOOKUP(5007,季財報!A:H,3)</f>
        <v>0</v>
      </c>
      <c r="D472" s="18">
        <f>VLOOKUP(5007,季財報!A:H,4)</f>
        <v>1</v>
      </c>
      <c r="E472" s="18">
        <f>VLOOKUP(5007,季財報!A:H,5)</f>
        <v>0</v>
      </c>
      <c r="F472" s="18">
        <f>VLOOKUP(5007,季財報!A:H,6)</f>
        <v>1</v>
      </c>
      <c r="G472" s="18">
        <f>VLOOKUP(5007,季財報!A:H,7)</f>
        <v>0</v>
      </c>
      <c r="N472" s="20">
        <f t="shared" si="7"/>
        <v>2</v>
      </c>
    </row>
    <row r="473" spans="1:19">
      <c r="A473" s="308" t="str">
        <f>HYPERLINK("http://www.wantgoo.com/stock/chart.aspx?stockno=1733","1733")</f>
        <v>1733</v>
      </c>
      <c r="C473" s="18">
        <f>VLOOKUP(1733,季財報!A:H,3)</f>
        <v>1</v>
      </c>
      <c r="D473" s="18">
        <f>VLOOKUP(1733,季財報!A:H,4)</f>
        <v>1</v>
      </c>
      <c r="E473" s="18">
        <f>VLOOKUP(1733,季財報!A:H,5)</f>
        <v>2</v>
      </c>
      <c r="F473" s="18">
        <f>VLOOKUP(1733,季財報!A:H,6)</f>
        <v>0</v>
      </c>
      <c r="G473" s="18">
        <f>VLOOKUP(1733,季財報!A:H,7)</f>
        <v>0</v>
      </c>
      <c r="N473" s="20">
        <f t="shared" si="7"/>
        <v>4</v>
      </c>
    </row>
    <row r="474" spans="1:19">
      <c r="A474" s="308" t="str">
        <f>HYPERLINK("http://www.wantgoo.com/stock/chart.aspx?stockno=6227","6227")</f>
        <v>6227</v>
      </c>
      <c r="C474" s="18">
        <f>VLOOKUP(6227,季財報!A:H,3)</f>
        <v>0</v>
      </c>
      <c r="D474" s="18">
        <f>VLOOKUP(6227,季財報!A:H,4)</f>
        <v>1</v>
      </c>
      <c r="E474" s="18">
        <f>VLOOKUP(6227,季財報!A:H,5)</f>
        <v>0</v>
      </c>
      <c r="F474" s="18">
        <f>VLOOKUP(6227,季財報!A:H,6)</f>
        <v>0</v>
      </c>
      <c r="G474" s="18">
        <f>VLOOKUP(6227,季財報!A:H,7)</f>
        <v>1</v>
      </c>
      <c r="N474" s="20">
        <f t="shared" si="7"/>
        <v>2</v>
      </c>
    </row>
    <row r="475" spans="1:19">
      <c r="A475" s="308" t="str">
        <f>HYPERLINK("http://www.wantgoo.com/stock/chart.aspx?stockno=3567","3567")</f>
        <v>3567</v>
      </c>
      <c r="C475" s="18">
        <f>VLOOKUP(3567,季財報!A:H,3)</f>
        <v>0</v>
      </c>
      <c r="D475" s="18">
        <f>VLOOKUP(3567,季財報!A:H,4)</f>
        <v>1</v>
      </c>
      <c r="E475" s="18">
        <f>VLOOKUP(3567,季財報!A:H,5)</f>
        <v>1</v>
      </c>
      <c r="F475" s="18">
        <f>VLOOKUP(3567,季財報!A:H,6)</f>
        <v>1</v>
      </c>
      <c r="G475" s="18">
        <f>VLOOKUP(3567,季財報!A:H,7)</f>
        <v>0</v>
      </c>
      <c r="N475" s="20">
        <f t="shared" si="7"/>
        <v>3</v>
      </c>
    </row>
    <row r="476" spans="1:19">
      <c r="A476" s="307" t="str">
        <f>HYPERLINK("http://www.wantgoo.com/stock/chart.aspx?stockno=3492","3492")</f>
        <v>3492</v>
      </c>
      <c r="C476" s="18">
        <f>VLOOKUP(3492,季財報!A:H,3)</f>
        <v>1</v>
      </c>
      <c r="D476" s="18">
        <f>VLOOKUP(3492,季財報!A:H,4)</f>
        <v>1</v>
      </c>
      <c r="E476" s="18">
        <f>VLOOKUP(3492,季財報!A:H,5)</f>
        <v>0</v>
      </c>
      <c r="F476" s="18">
        <f>VLOOKUP(3492,季財報!A:H,6)</f>
        <v>1</v>
      </c>
      <c r="G476" s="18">
        <f>VLOOKUP(3492,季財報!A:H,7)</f>
        <v>1</v>
      </c>
      <c r="N476" s="20">
        <f t="shared" si="7"/>
        <v>4</v>
      </c>
    </row>
    <row r="477" spans="1:19">
      <c r="A477" s="308" t="str">
        <f>HYPERLINK("http://www.wantgoo.com/stock/chart.aspx?stockno=1525","1525")</f>
        <v>1525</v>
      </c>
      <c r="C477" s="18">
        <f>VLOOKUP(1525,季財報!A:H,3)</f>
        <v>0</v>
      </c>
      <c r="D477" s="18">
        <f>VLOOKUP(1525,季財報!A:H,4)</f>
        <v>1</v>
      </c>
      <c r="E477" s="18">
        <f>VLOOKUP(1525,季財報!A:H,5)</f>
        <v>0</v>
      </c>
      <c r="F477" s="18">
        <f>VLOOKUP(1525,季財報!A:H,6)</f>
        <v>0</v>
      </c>
      <c r="G477" s="18">
        <f>VLOOKUP(1525,季財報!A:H,7)</f>
        <v>0</v>
      </c>
      <c r="N477" s="20">
        <f t="shared" si="7"/>
        <v>1</v>
      </c>
    </row>
    <row r="478" spans="1:19">
      <c r="A478" s="308" t="str">
        <f>HYPERLINK("http://www.wantgoo.com/stock/chart.aspx?stockno=8072","8072")</f>
        <v>8072</v>
      </c>
      <c r="C478" s="18">
        <f>VLOOKUP(8072,季財報!A:H,3)</f>
        <v>0</v>
      </c>
      <c r="D478" s="18">
        <f>VLOOKUP(8072,季財報!A:H,4)</f>
        <v>1</v>
      </c>
      <c r="E478" s="18">
        <f>VLOOKUP(8072,季財報!A:H,5)</f>
        <v>0</v>
      </c>
      <c r="F478" s="18">
        <f>VLOOKUP(8072,季財報!A:H,6)</f>
        <v>1</v>
      </c>
      <c r="G478" s="18">
        <f>VLOOKUP(8072,季財報!A:H,7)</f>
        <v>0</v>
      </c>
      <c r="N478" s="20">
        <f t="shared" si="7"/>
        <v>2</v>
      </c>
    </row>
    <row r="479" spans="1:19" s="317" customFormat="1">
      <c r="A479" s="309" t="str">
        <f>HYPERLINK("http://www.wantgoo.com/stock/chart.aspx?stockno=1788","1788")</f>
        <v>1788</v>
      </c>
      <c r="B479" s="310"/>
      <c r="C479" s="311">
        <f>VLOOKUP(1788,季財報!A:H,3)</f>
        <v>0</v>
      </c>
      <c r="D479" s="311">
        <f>VLOOKUP(1788,季財報!A:H,4)</f>
        <v>0</v>
      </c>
      <c r="E479" s="311">
        <f>VLOOKUP(1788,季財報!A:H,5)</f>
        <v>0</v>
      </c>
      <c r="F479" s="311">
        <f>VLOOKUP(1788,季財報!A:H,6)</f>
        <v>1</v>
      </c>
      <c r="G479" s="311">
        <f>VLOOKUP(1788,季財報!A:H,7)</f>
        <v>0</v>
      </c>
      <c r="H479" s="312"/>
      <c r="I479" s="312"/>
      <c r="J479" s="312"/>
      <c r="K479" s="312"/>
      <c r="L479" s="312"/>
      <c r="M479" s="313"/>
      <c r="N479" s="312">
        <f t="shared" si="7"/>
        <v>1</v>
      </c>
      <c r="O479" s="314"/>
      <c r="P479" s="314"/>
      <c r="Q479" s="314"/>
      <c r="R479" s="314"/>
      <c r="S479" s="315"/>
    </row>
    <row r="480" spans="1:19">
      <c r="A480" s="308" t="str">
        <f>HYPERLINK("http://www.wantgoo.com/stock/chart.aspx?stockno=5274","5274")</f>
        <v>5274</v>
      </c>
      <c r="C480" s="18">
        <f>VLOOKUP(5274,季財報!A:H,3)</f>
        <v>1</v>
      </c>
      <c r="D480" s="18">
        <f>VLOOKUP(5274,季財報!A:H,4)</f>
        <v>1</v>
      </c>
      <c r="E480" s="18">
        <f>VLOOKUP(5274,季財報!A:H,5)</f>
        <v>2</v>
      </c>
      <c r="F480" s="18">
        <f>VLOOKUP(5274,季財報!A:H,6)</f>
        <v>1</v>
      </c>
      <c r="G480" s="18">
        <f>VLOOKUP(5274,季財報!A:H,7)</f>
        <v>1</v>
      </c>
      <c r="N480" s="20">
        <f t="shared" si="7"/>
        <v>6</v>
      </c>
    </row>
    <row r="481" spans="1:14">
      <c r="A481" s="307" t="str">
        <f>HYPERLINK("http://www.wantgoo.com/stock/chart.aspx?stockno=8287","8287")</f>
        <v>8287</v>
      </c>
      <c r="C481" s="18">
        <f>VLOOKUP(8287,季財報!A:H,3)</f>
        <v>0</v>
      </c>
      <c r="D481" s="18">
        <f>VLOOKUP(8287,季財報!A:H,4)</f>
        <v>1</v>
      </c>
      <c r="E481" s="18">
        <f>VLOOKUP(8287,季財報!A:H,5)</f>
        <v>1</v>
      </c>
      <c r="F481" s="18">
        <f>VLOOKUP(8287,季財報!A:H,6)</f>
        <v>0</v>
      </c>
      <c r="G481" s="18">
        <f>VLOOKUP(8287,季財報!A:H,7)</f>
        <v>0</v>
      </c>
      <c r="N481" s="20">
        <f t="shared" si="7"/>
        <v>2</v>
      </c>
    </row>
    <row r="482" spans="1:14">
      <c r="A482" s="307" t="str">
        <f>HYPERLINK("http://www.wantgoo.com/stock/chart.aspx?stockno=3658","3658")</f>
        <v>3658</v>
      </c>
      <c r="C482" s="18">
        <f>VLOOKUP(3658,季財報!A:H,3)</f>
        <v>0</v>
      </c>
      <c r="D482" s="18">
        <f>VLOOKUP(3658,季財報!A:H,4)</f>
        <v>1</v>
      </c>
      <c r="E482" s="18">
        <f>VLOOKUP(3658,季財報!A:H,5)</f>
        <v>0</v>
      </c>
      <c r="F482" s="18">
        <f>VLOOKUP(3658,季財報!A:H,6)</f>
        <v>1</v>
      </c>
      <c r="G482" s="18">
        <f>VLOOKUP(3658,季財報!A:H,7)</f>
        <v>0</v>
      </c>
      <c r="N482" s="20">
        <f t="shared" si="7"/>
        <v>2</v>
      </c>
    </row>
    <row r="483" spans="1:14">
      <c r="A483" s="308" t="str">
        <f>HYPERLINK("http://www.wantgoo.com/stock/chart.aspx?stockno=9910","9910")</f>
        <v>9910</v>
      </c>
      <c r="C483" s="18">
        <f>VLOOKUP(9910,季財報!A:H,3)</f>
        <v>1</v>
      </c>
      <c r="D483" s="18">
        <f>VLOOKUP(9910,季財報!A:H,4)</f>
        <v>1</v>
      </c>
      <c r="E483" s="18">
        <f>VLOOKUP(9910,季財報!A:H,5)</f>
        <v>2</v>
      </c>
      <c r="F483" s="18">
        <f>VLOOKUP(9910,季財報!A:H,6)</f>
        <v>1</v>
      </c>
      <c r="G483" s="18">
        <f>VLOOKUP(9910,季財報!A:H,7)</f>
        <v>1</v>
      </c>
      <c r="N483" s="20">
        <f t="shared" si="7"/>
        <v>6</v>
      </c>
    </row>
    <row r="484" spans="1:14">
      <c r="A484" s="307" t="str">
        <f>HYPERLINK("http://www.wantgoo.com/stock/chart.aspx?stockno=1410","1410")</f>
        <v>1410</v>
      </c>
      <c r="C484" s="18">
        <f>VLOOKUP(1410,季財報!A:H,3)</f>
        <v>0</v>
      </c>
      <c r="D484" s="18">
        <f>VLOOKUP(1410,季財報!A:H,4)</f>
        <v>1</v>
      </c>
      <c r="E484" s="18">
        <f>VLOOKUP(1410,季財報!A:H,5)</f>
        <v>0</v>
      </c>
      <c r="F484" s="18">
        <f>VLOOKUP(1410,季財報!A:H,6)</f>
        <v>1</v>
      </c>
      <c r="G484" s="18">
        <f>VLOOKUP(1410,季財報!A:H,7)</f>
        <v>0</v>
      </c>
      <c r="N484" s="20">
        <f t="shared" si="7"/>
        <v>2</v>
      </c>
    </row>
    <row r="485" spans="1:14">
      <c r="A485" s="308" t="str">
        <f>HYPERLINK("http://www.wantgoo.com/stock/chart.aspx?stockno=1454","1454")</f>
        <v>1454</v>
      </c>
      <c r="C485" s="18">
        <f>VLOOKUP(1454,季財報!A:H,3)</f>
        <v>0</v>
      </c>
      <c r="D485" s="18">
        <f>VLOOKUP(1454,季財報!A:H,4)</f>
        <v>0</v>
      </c>
      <c r="E485" s="18">
        <f>VLOOKUP(1454,季財報!A:H,5)</f>
        <v>0</v>
      </c>
      <c r="F485" s="18">
        <f>VLOOKUP(1454,季財報!A:H,6)</f>
        <v>1</v>
      </c>
      <c r="G485" s="18">
        <f>VLOOKUP(1454,季財報!A:H,7)</f>
        <v>0</v>
      </c>
      <c r="N485" s="20">
        <f t="shared" si="7"/>
        <v>1</v>
      </c>
    </row>
    <row r="486" spans="1:14">
      <c r="A486" s="307" t="str">
        <f>HYPERLINK("http://www.wantgoo.com/stock/chart.aspx?stockno=2423","2423")</f>
        <v>2423</v>
      </c>
      <c r="C486" s="18">
        <f>VLOOKUP(2423,季財報!A:H,3)</f>
        <v>0</v>
      </c>
      <c r="D486" s="18">
        <f>VLOOKUP(2423,季財報!A:H,4)</f>
        <v>1</v>
      </c>
      <c r="E486" s="18">
        <f>VLOOKUP(2423,季財報!A:H,5)</f>
        <v>0</v>
      </c>
      <c r="F486" s="18">
        <f>VLOOKUP(2423,季財報!A:H,6)</f>
        <v>1</v>
      </c>
      <c r="G486" s="18">
        <f>VLOOKUP(2423,季財報!A:H,7)</f>
        <v>0</v>
      </c>
      <c r="N486" s="20">
        <f t="shared" si="7"/>
        <v>2</v>
      </c>
    </row>
    <row r="487" spans="1:14">
      <c r="A487" s="308" t="str">
        <f>HYPERLINK("http://www.wantgoo.com/stock/chart.aspx?stockno=5209","5209")</f>
        <v>5209</v>
      </c>
      <c r="C487" s="18">
        <f>VLOOKUP(5209,季財報!A:H,3)</f>
        <v>1</v>
      </c>
      <c r="D487" s="18">
        <f>VLOOKUP(5209,季財報!A:H,4)</f>
        <v>1</v>
      </c>
      <c r="E487" s="18">
        <f>VLOOKUP(5209,季財報!A:H,5)</f>
        <v>1</v>
      </c>
      <c r="F487" s="18">
        <f>VLOOKUP(5209,季財報!A:H,6)</f>
        <v>0</v>
      </c>
      <c r="G487" s="18">
        <f>VLOOKUP(5209,季財報!A:H,7)</f>
        <v>0</v>
      </c>
      <c r="N487" s="20">
        <f t="shared" si="7"/>
        <v>3</v>
      </c>
    </row>
    <row r="488" spans="1:14">
      <c r="A488" s="307" t="str">
        <f>HYPERLINK("http://www.wantgoo.com/stock/chart.aspx?stockno=4549","4549")</f>
        <v>4549</v>
      </c>
      <c r="C488" s="18">
        <f>VLOOKUP(4549,季財報!A:H,3)</f>
        <v>0</v>
      </c>
      <c r="D488" s="18">
        <f>VLOOKUP(4549,季財報!A:H,4)</f>
        <v>1</v>
      </c>
      <c r="E488" s="18">
        <f>VLOOKUP(4549,季財報!A:H,5)</f>
        <v>2</v>
      </c>
      <c r="F488" s="18">
        <f>VLOOKUP(4549,季財報!A:H,6)</f>
        <v>1</v>
      </c>
      <c r="G488" s="18">
        <f>VLOOKUP(4549,季財報!A:H,7)</f>
        <v>0</v>
      </c>
      <c r="N488" s="20">
        <f t="shared" si="7"/>
        <v>4</v>
      </c>
    </row>
    <row r="489" spans="1:14">
      <c r="A489" s="308" t="str">
        <f>HYPERLINK("http://www.wantgoo.com/stock/chart.aspx?stockno=6508","6508")</f>
        <v>6508</v>
      </c>
      <c r="C489" s="18">
        <f>VLOOKUP(6508,季財報!A:H,3)</f>
        <v>0</v>
      </c>
      <c r="D489" s="18">
        <f>VLOOKUP(6508,季財報!A:H,4)</f>
        <v>1</v>
      </c>
      <c r="E489" s="18">
        <f>VLOOKUP(6508,季財報!A:H,5)</f>
        <v>0</v>
      </c>
      <c r="F489" s="18">
        <f>VLOOKUP(6508,季財報!A:H,6)</f>
        <v>0</v>
      </c>
      <c r="G489" s="18">
        <f>VLOOKUP(6508,季財報!A:H,7)</f>
        <v>0</v>
      </c>
      <c r="N489" s="20">
        <f t="shared" si="7"/>
        <v>1</v>
      </c>
    </row>
    <row r="490" spans="1:14">
      <c r="A490" s="307" t="str">
        <f>HYPERLINK("http://www.wantgoo.com/stock/chart.aspx?stockno=3581","3581")</f>
        <v>3581</v>
      </c>
      <c r="C490" s="18">
        <f>VLOOKUP(3581,季財報!A:H,3)</f>
        <v>0</v>
      </c>
      <c r="D490" s="18">
        <f>VLOOKUP(3581,季財報!A:H,4)</f>
        <v>1</v>
      </c>
      <c r="E490" s="18">
        <f>VLOOKUP(3581,季財報!A:H,5)</f>
        <v>0</v>
      </c>
      <c r="F490" s="18">
        <f>VLOOKUP(3581,季財報!A:H,6)</f>
        <v>1</v>
      </c>
      <c r="G490" s="18">
        <f>VLOOKUP(3581,季財報!A:H,7)</f>
        <v>1</v>
      </c>
      <c r="N490" s="20">
        <f t="shared" si="7"/>
        <v>3</v>
      </c>
    </row>
    <row r="491" spans="1:14">
      <c r="A491" s="307" t="str">
        <f>HYPERLINK("http://www.wantgoo.com/stock/chart.aspx?stockno=6409","6409")</f>
        <v>6409</v>
      </c>
      <c r="C491" s="18">
        <f>VLOOKUP(6409,季財報!A:H,3)</f>
        <v>1</v>
      </c>
      <c r="D491" s="18">
        <f>VLOOKUP(6409,季財報!A:H,4)</f>
        <v>1</v>
      </c>
      <c r="E491" s="18">
        <f>VLOOKUP(6409,季財報!A:H,5)</f>
        <v>0</v>
      </c>
      <c r="F491" s="18">
        <f>VLOOKUP(6409,季財報!A:H,6)</f>
        <v>1</v>
      </c>
      <c r="G491" s="18">
        <f>VLOOKUP(6409,季財報!A:H,7)</f>
        <v>0</v>
      </c>
      <c r="N491" s="20">
        <f t="shared" si="7"/>
        <v>3</v>
      </c>
    </row>
    <row r="492" spans="1:14">
      <c r="A492" s="307" t="str">
        <f>HYPERLINK("http://www.wantgoo.com/stock/chart.aspx?stockno=4903","4903")</f>
        <v>4903</v>
      </c>
      <c r="C492" s="18">
        <f>VLOOKUP(4903,季財報!A:H,3)</f>
        <v>0</v>
      </c>
      <c r="D492" s="18">
        <f>VLOOKUP(4903,季財報!A:H,4)</f>
        <v>1</v>
      </c>
      <c r="E492" s="18">
        <f>VLOOKUP(4903,季財報!A:H,5)</f>
        <v>1</v>
      </c>
      <c r="F492" s="18">
        <f>VLOOKUP(4903,季財報!A:H,6)</f>
        <v>0</v>
      </c>
      <c r="G492" s="18">
        <f>VLOOKUP(4903,季財報!A:H,7)</f>
        <v>0</v>
      </c>
      <c r="N492" s="20">
        <f t="shared" si="7"/>
        <v>2</v>
      </c>
    </row>
    <row r="493" spans="1:14">
      <c r="A493" s="307" t="str">
        <f>HYPERLINK("http://www.wantgoo.com/stock/chart.aspx?stockno=3013","3013")</f>
        <v>3013</v>
      </c>
      <c r="C493" s="18">
        <f>VLOOKUP(3013,季財報!A:H,3)</f>
        <v>0</v>
      </c>
      <c r="D493" s="18">
        <f>VLOOKUP(3013,季財報!A:H,4)</f>
        <v>1</v>
      </c>
      <c r="E493" s="18">
        <f>VLOOKUP(3013,季財報!A:H,5)</f>
        <v>0</v>
      </c>
      <c r="F493" s="18">
        <f>VLOOKUP(3013,季財報!A:H,6)</f>
        <v>1</v>
      </c>
      <c r="G493" s="18">
        <f>VLOOKUP(3013,季財報!A:H,7)</f>
        <v>0</v>
      </c>
      <c r="N493" s="20">
        <f t="shared" si="7"/>
        <v>2</v>
      </c>
    </row>
    <row r="494" spans="1:14">
      <c r="A494" s="307" t="str">
        <f>HYPERLINK("http://www.wantgoo.com/stock/chart.aspx?stockno=1227","1227")</f>
        <v>1227</v>
      </c>
      <c r="C494" s="18">
        <f>VLOOKUP(1227,季財報!A:H,3)</f>
        <v>0</v>
      </c>
      <c r="D494" s="18">
        <f>VLOOKUP(1227,季財報!A:H,4)</f>
        <v>1</v>
      </c>
      <c r="E494" s="18">
        <f>VLOOKUP(1227,季財報!A:H,5)</f>
        <v>2</v>
      </c>
      <c r="F494" s="18">
        <f>VLOOKUP(1227,季財報!A:H,6)</f>
        <v>1</v>
      </c>
      <c r="G494" s="18">
        <f>VLOOKUP(1227,季財報!A:H,7)</f>
        <v>0</v>
      </c>
      <c r="N494" s="20">
        <f t="shared" si="7"/>
        <v>4</v>
      </c>
    </row>
    <row r="495" spans="1:14">
      <c r="A495" s="308" t="str">
        <f>HYPERLINK("http://www.wantgoo.com/stock/chart.aspx?stockno=2235","2235")</f>
        <v>2235</v>
      </c>
      <c r="C495" s="18">
        <f>VLOOKUP(2235,季財報!A:H,3)</f>
        <v>1</v>
      </c>
      <c r="D495" s="18">
        <f>VLOOKUP(2235,季財報!A:H,4)</f>
        <v>1</v>
      </c>
      <c r="E495" s="18">
        <f>VLOOKUP(2235,季財報!A:H,5)</f>
        <v>1</v>
      </c>
      <c r="F495" s="18">
        <f>VLOOKUP(2235,季財報!A:H,6)</f>
        <v>0</v>
      </c>
      <c r="G495" s="18">
        <f>VLOOKUP(2235,季財報!A:H,7)</f>
        <v>0</v>
      </c>
      <c r="N495" s="20">
        <f t="shared" si="7"/>
        <v>3</v>
      </c>
    </row>
    <row r="496" spans="1:14">
      <c r="A496" s="307" t="str">
        <f>HYPERLINK("http://www.wantgoo.com/stock/chart.aspx?stockno=6415","6415")</f>
        <v>6415</v>
      </c>
      <c r="C496" s="18">
        <f>VLOOKUP(6415,季財報!A:H,3)</f>
        <v>0</v>
      </c>
      <c r="D496" s="18">
        <f>VLOOKUP(6415,季財報!A:H,4)</f>
        <v>1</v>
      </c>
      <c r="E496" s="18">
        <f>VLOOKUP(6415,季財報!A:H,5)</f>
        <v>0</v>
      </c>
      <c r="F496" s="18">
        <f>VLOOKUP(6415,季財報!A:H,6)</f>
        <v>1</v>
      </c>
      <c r="G496" s="18">
        <f>VLOOKUP(6415,季財報!A:H,7)</f>
        <v>0</v>
      </c>
      <c r="N496" s="20">
        <f t="shared" si="7"/>
        <v>2</v>
      </c>
    </row>
    <row r="497" spans="1:14">
      <c r="A497" s="308" t="str">
        <f>HYPERLINK("http://www.wantgoo.com/stock/chart.aspx?stockno=6238","6238")</f>
        <v>6238</v>
      </c>
      <c r="C497" s="18">
        <f>VLOOKUP(6238,季財報!A:H,3)</f>
        <v>1</v>
      </c>
      <c r="D497" s="18">
        <f>VLOOKUP(6238,季財報!A:H,4)</f>
        <v>1</v>
      </c>
      <c r="E497" s="18">
        <f>VLOOKUP(6238,季財報!A:H,5)</f>
        <v>1</v>
      </c>
      <c r="F497" s="18">
        <f>VLOOKUP(6238,季財報!A:H,6)</f>
        <v>1</v>
      </c>
      <c r="G497" s="18">
        <f>VLOOKUP(6238,季財報!A:H,7)</f>
        <v>0</v>
      </c>
      <c r="N497" s="20">
        <f t="shared" si="7"/>
        <v>4</v>
      </c>
    </row>
    <row r="498" spans="1:14">
      <c r="A498" s="307" t="str">
        <f>HYPERLINK("http://www.wantgoo.com/stock/chart.aspx?stockno=6176","6176")</f>
        <v>6176</v>
      </c>
      <c r="C498" s="18">
        <f>VLOOKUP(6176,季財報!A:H,3)</f>
        <v>0</v>
      </c>
      <c r="D498" s="18">
        <f>VLOOKUP(6176,季財報!A:H,4)</f>
        <v>1</v>
      </c>
      <c r="E498" s="18">
        <f>VLOOKUP(6176,季財報!A:H,5)</f>
        <v>2</v>
      </c>
      <c r="F498" s="18">
        <f>VLOOKUP(6176,季財報!A:H,6)</f>
        <v>0</v>
      </c>
      <c r="G498" s="18">
        <f>VLOOKUP(6176,季財報!A:H,7)</f>
        <v>0</v>
      </c>
      <c r="N498" s="20">
        <f t="shared" si="7"/>
        <v>3</v>
      </c>
    </row>
    <row r="499" spans="1:14">
      <c r="A499" s="308" t="str">
        <f>HYPERLINK("http://www.wantgoo.com/stock/chart.aspx?stockno=1476","1476")</f>
        <v>1476</v>
      </c>
      <c r="C499" s="18">
        <f>VLOOKUP(1476,季財報!A:H,3)</f>
        <v>1</v>
      </c>
      <c r="D499" s="18">
        <f>VLOOKUP(1476,季財報!A:H,4)</f>
        <v>1</v>
      </c>
      <c r="E499" s="18">
        <f>VLOOKUP(1476,季財報!A:H,5)</f>
        <v>0</v>
      </c>
      <c r="F499" s="18">
        <f>VLOOKUP(1476,季財報!A:H,6)</f>
        <v>1</v>
      </c>
      <c r="G499" s="18">
        <f>VLOOKUP(1476,季財報!A:H,7)</f>
        <v>0</v>
      </c>
      <c r="N499" s="20">
        <f t="shared" si="7"/>
        <v>3</v>
      </c>
    </row>
    <row r="500" spans="1:14">
      <c r="A500" s="307" t="str">
        <f>HYPERLINK("http://www.wantgoo.com/stock/chart.aspx?stockno=3045","3045")</f>
        <v>3045</v>
      </c>
      <c r="C500" s="18">
        <f>VLOOKUP(3045,季財報!A:H,3)</f>
        <v>1</v>
      </c>
      <c r="D500" s="18">
        <f>VLOOKUP(3045,季財報!A:H,4)</f>
        <v>1</v>
      </c>
      <c r="E500" s="18">
        <f>VLOOKUP(3045,季財報!A:H,5)</f>
        <v>1</v>
      </c>
      <c r="F500" s="18">
        <f>VLOOKUP(3045,季財報!A:H,6)</f>
        <v>1</v>
      </c>
      <c r="G500" s="18">
        <f>VLOOKUP(3045,季財報!A:H,7)</f>
        <v>0</v>
      </c>
      <c r="N500" s="20">
        <f t="shared" si="7"/>
        <v>4</v>
      </c>
    </row>
    <row r="501" spans="1:14">
      <c r="A501" s="307" t="str">
        <f>HYPERLINK("http://www.wantgoo.com/stock/chart.aspx?stockno=5460","5460")</f>
        <v>5460</v>
      </c>
      <c r="C501" s="18">
        <f>VLOOKUP(5460,季財報!A:H,3)</f>
        <v>0</v>
      </c>
      <c r="D501" s="18">
        <f>VLOOKUP(5460,季財報!A:H,4)</f>
        <v>0</v>
      </c>
      <c r="E501" s="18">
        <f>VLOOKUP(5460,季財報!A:H,5)</f>
        <v>0</v>
      </c>
      <c r="F501" s="18">
        <f>VLOOKUP(5460,季財報!A:H,6)</f>
        <v>1</v>
      </c>
      <c r="G501" s="18">
        <f>VLOOKUP(5460,季財報!A:H,7)</f>
        <v>0</v>
      </c>
      <c r="N501" s="20">
        <f t="shared" si="7"/>
        <v>1</v>
      </c>
    </row>
    <row r="502" spans="1:14">
      <c r="A502" s="308" t="str">
        <f>HYPERLINK("http://www.wantgoo.com/stock/chart.aspx?stockno=2413","2413")</f>
        <v>2413</v>
      </c>
      <c r="C502" s="18">
        <f>VLOOKUP(2413,季財報!A:H,3)</f>
        <v>1</v>
      </c>
      <c r="D502" s="18">
        <f>VLOOKUP(2413,季財報!A:H,4)</f>
        <v>1</v>
      </c>
      <c r="E502" s="18">
        <f>VLOOKUP(2413,季財報!A:H,5)</f>
        <v>2</v>
      </c>
      <c r="F502" s="18">
        <f>VLOOKUP(2413,季財報!A:H,6)</f>
        <v>0</v>
      </c>
      <c r="G502" s="18">
        <f>VLOOKUP(2413,季財報!A:H,7)</f>
        <v>0</v>
      </c>
      <c r="N502" s="20">
        <f t="shared" si="7"/>
        <v>4</v>
      </c>
    </row>
    <row r="503" spans="1:14">
      <c r="A503" s="307" t="str">
        <f>HYPERLINK("http://www.wantgoo.com/stock/chart.aspx?stockno=2034","2034")</f>
        <v>2034</v>
      </c>
      <c r="C503" s="18">
        <f>VLOOKUP(2034,季財報!A:H,3)</f>
        <v>0</v>
      </c>
      <c r="D503" s="18">
        <f>VLOOKUP(2034,季財報!A:H,4)</f>
        <v>1</v>
      </c>
      <c r="E503" s="18">
        <f>VLOOKUP(2034,季財報!A:H,5)</f>
        <v>1</v>
      </c>
      <c r="F503" s="18">
        <f>VLOOKUP(2034,季財報!A:H,6)</f>
        <v>0</v>
      </c>
      <c r="G503" s="18">
        <f>VLOOKUP(2034,季財報!A:H,7)</f>
        <v>0</v>
      </c>
      <c r="N503" s="20">
        <f t="shared" si="7"/>
        <v>2</v>
      </c>
    </row>
    <row r="504" spans="1:14">
      <c r="A504" s="307" t="str">
        <f>HYPERLINK("http://www.wantgoo.com/stock/chart.aspx?stockno=4105","4105")</f>
        <v>4105</v>
      </c>
      <c r="C504" s="18">
        <f>VLOOKUP(4105,季財報!A:H,3)</f>
        <v>0</v>
      </c>
      <c r="D504" s="18">
        <f>VLOOKUP(4105,季財報!A:H,4)</f>
        <v>1</v>
      </c>
      <c r="E504" s="18">
        <f>VLOOKUP(4105,季財報!A:H,5)</f>
        <v>1</v>
      </c>
      <c r="F504" s="18">
        <f>VLOOKUP(4105,季財報!A:H,6)</f>
        <v>1</v>
      </c>
      <c r="G504" s="18">
        <f>VLOOKUP(4105,季財報!A:H,7)</f>
        <v>0</v>
      </c>
      <c r="N504" s="20">
        <f t="shared" si="7"/>
        <v>3</v>
      </c>
    </row>
    <row r="505" spans="1:14">
      <c r="A505" s="308" t="str">
        <f>HYPERLINK("http://www.wantgoo.com/stock/chart.aspx?stockno=4915","4915")</f>
        <v>4915</v>
      </c>
      <c r="C505" s="18">
        <f>VLOOKUP(4915,季財報!A:H,3)</f>
        <v>1</v>
      </c>
      <c r="D505" s="18">
        <f>VLOOKUP(4915,季財報!A:H,4)</f>
        <v>1</v>
      </c>
      <c r="E505" s="18">
        <f>VLOOKUP(4915,季財報!A:H,5)</f>
        <v>1</v>
      </c>
      <c r="F505" s="18">
        <f>VLOOKUP(4915,季財報!A:H,6)</f>
        <v>1</v>
      </c>
      <c r="G505" s="18">
        <f>VLOOKUP(4915,季財報!A:H,7)</f>
        <v>1</v>
      </c>
      <c r="N505" s="20">
        <f t="shared" si="7"/>
        <v>5</v>
      </c>
    </row>
    <row r="506" spans="1:14">
      <c r="A506" s="308" t="str">
        <f>HYPERLINK("http://www.wantgoo.com/stock/chart.aspx?stockno=6223","6223")</f>
        <v>6223</v>
      </c>
      <c r="C506" s="18">
        <f>VLOOKUP(6223,季財報!A:H,3)</f>
        <v>0</v>
      </c>
      <c r="D506" s="18">
        <f>VLOOKUP(6223,季財報!A:H,4)</f>
        <v>1</v>
      </c>
      <c r="E506" s="18">
        <f>VLOOKUP(6223,季財報!A:H,5)</f>
        <v>0</v>
      </c>
      <c r="F506" s="18">
        <f>VLOOKUP(6223,季財報!A:H,6)</f>
        <v>0</v>
      </c>
      <c r="G506" s="18">
        <f>VLOOKUP(6223,季財報!A:H,7)</f>
        <v>0</v>
      </c>
      <c r="N506" s="20">
        <f t="shared" si="7"/>
        <v>1</v>
      </c>
    </row>
    <row r="507" spans="1:14">
      <c r="A507" s="307" t="str">
        <f>HYPERLINK("http://www.wantgoo.com/stock/chart.aspx?stockno=2392","2392")</f>
        <v>2392</v>
      </c>
      <c r="C507" s="18">
        <f>VLOOKUP(2392,季財報!A:H,3)</f>
        <v>1</v>
      </c>
      <c r="D507" s="18">
        <f>VLOOKUP(2392,季財報!A:H,4)</f>
        <v>1</v>
      </c>
      <c r="E507" s="18">
        <f>VLOOKUP(2392,季財報!A:H,5)</f>
        <v>1</v>
      </c>
      <c r="F507" s="18">
        <f>VLOOKUP(2392,季財報!A:H,6)</f>
        <v>0</v>
      </c>
      <c r="G507" s="18">
        <f>VLOOKUP(2392,季財報!A:H,7)</f>
        <v>0</v>
      </c>
      <c r="N507" s="20">
        <f t="shared" si="7"/>
        <v>3</v>
      </c>
    </row>
    <row r="508" spans="1:14">
      <c r="A508" s="308" t="str">
        <f>HYPERLINK("http://www.wantgoo.com/stock/chart.aspx?stockno=5225","5225")</f>
        <v>5225</v>
      </c>
      <c r="C508" s="18">
        <f>VLOOKUP(5225,季財報!A:H,3)</f>
        <v>1</v>
      </c>
      <c r="D508" s="18">
        <f>VLOOKUP(5225,季財報!A:H,4)</f>
        <v>1</v>
      </c>
      <c r="E508" s="18">
        <f>VLOOKUP(5225,季財報!A:H,5)</f>
        <v>0</v>
      </c>
      <c r="F508" s="18">
        <f>VLOOKUP(5225,季財報!A:H,6)</f>
        <v>1</v>
      </c>
      <c r="G508" s="18">
        <f>VLOOKUP(5225,季財報!A:H,7)</f>
        <v>1</v>
      </c>
      <c r="N508" s="20">
        <f t="shared" si="7"/>
        <v>4</v>
      </c>
    </row>
    <row r="509" spans="1:14">
      <c r="A509" s="308" t="str">
        <f>HYPERLINK("http://www.wantgoo.com/stock/chart.aspx?stockno=8383","8383")</f>
        <v>8383</v>
      </c>
      <c r="C509" s="18">
        <f>VLOOKUP(8383,季財報!A:H,3)</f>
        <v>1</v>
      </c>
      <c r="D509" s="18">
        <f>VLOOKUP(8383,季財報!A:H,4)</f>
        <v>1</v>
      </c>
      <c r="E509" s="18">
        <f>VLOOKUP(8383,季財報!A:H,5)</f>
        <v>0</v>
      </c>
      <c r="F509" s="18">
        <f>VLOOKUP(8383,季財報!A:H,6)</f>
        <v>1</v>
      </c>
      <c r="G509" s="18">
        <f>VLOOKUP(8383,季財報!A:H,7)</f>
        <v>0</v>
      </c>
      <c r="N509" s="20">
        <f t="shared" si="7"/>
        <v>3</v>
      </c>
    </row>
    <row r="510" spans="1:14">
      <c r="A510" s="308" t="str">
        <f>HYPERLINK("http://www.wantgoo.com/stock/chart.aspx?stockno=4137","4137")</f>
        <v>4137</v>
      </c>
      <c r="C510" s="18">
        <f>VLOOKUP(4137,季財報!A:H,3)</f>
        <v>1</v>
      </c>
      <c r="D510" s="18">
        <f>VLOOKUP(4137,季財報!A:H,4)</f>
        <v>1</v>
      </c>
      <c r="E510" s="18">
        <f>VLOOKUP(4137,季財報!A:H,5)</f>
        <v>0</v>
      </c>
      <c r="F510" s="18">
        <f>VLOOKUP(4137,季財報!A:H,6)</f>
        <v>0</v>
      </c>
      <c r="G510" s="18">
        <f>VLOOKUP(4137,季財報!A:H,7)</f>
        <v>0</v>
      </c>
      <c r="N510" s="20">
        <f t="shared" si="7"/>
        <v>2</v>
      </c>
    </row>
    <row r="511" spans="1:14">
      <c r="A511" s="308" t="str">
        <f>HYPERLINK("http://www.wantgoo.com/stock/chart.aspx?stockno=6219","6219")</f>
        <v>6219</v>
      </c>
      <c r="C511" s="18">
        <f>VLOOKUP(6219,季財報!A:H,3)</f>
        <v>0</v>
      </c>
      <c r="D511" s="18">
        <f>VLOOKUP(6219,季財報!A:H,4)</f>
        <v>1</v>
      </c>
      <c r="E511" s="18">
        <f>VLOOKUP(6219,季財報!A:H,5)</f>
        <v>2</v>
      </c>
      <c r="F511" s="18">
        <f>VLOOKUP(6219,季財報!A:H,6)</f>
        <v>0</v>
      </c>
      <c r="G511" s="18">
        <f>VLOOKUP(6219,季財報!A:H,7)</f>
        <v>0</v>
      </c>
      <c r="N511" s="20">
        <f t="shared" si="7"/>
        <v>3</v>
      </c>
    </row>
    <row r="512" spans="1:14">
      <c r="A512" s="308" t="str">
        <f>HYPERLINK("http://www.wantgoo.com/stock/chart.aspx?stockno=2729","2729")</f>
        <v>2729</v>
      </c>
      <c r="C512" s="18">
        <f>VLOOKUP(2729,季財報!A:H,3)</f>
        <v>0</v>
      </c>
      <c r="D512" s="18">
        <f>VLOOKUP(2729,季財報!A:H,4)</f>
        <v>0</v>
      </c>
      <c r="E512" s="18">
        <f>VLOOKUP(2729,季財報!A:H,5)</f>
        <v>1</v>
      </c>
      <c r="F512" s="18">
        <f>VLOOKUP(2729,季財報!A:H,6)</f>
        <v>1</v>
      </c>
      <c r="G512" s="18">
        <f>VLOOKUP(2729,季財報!A:H,7)</f>
        <v>0</v>
      </c>
      <c r="N512" s="20">
        <f t="shared" si="7"/>
        <v>2</v>
      </c>
    </row>
    <row r="513" spans="1:19">
      <c r="A513" s="307" t="str">
        <f>HYPERLINK("http://www.wantgoo.com/stock/chart.aspx?stockno=9925","9925")</f>
        <v>9925</v>
      </c>
      <c r="C513" s="18">
        <f>VLOOKUP(9925,季財報!A:H,3)</f>
        <v>0</v>
      </c>
      <c r="D513" s="18">
        <f>VLOOKUP(9925,季財報!A:H,4)</f>
        <v>0</v>
      </c>
      <c r="E513" s="18">
        <f>VLOOKUP(9925,季財報!A:H,5)</f>
        <v>1</v>
      </c>
      <c r="F513" s="18">
        <f>VLOOKUP(9925,季財報!A:H,6)</f>
        <v>1</v>
      </c>
      <c r="G513" s="18">
        <f>VLOOKUP(9925,季財報!A:H,7)</f>
        <v>0</v>
      </c>
      <c r="N513" s="20">
        <f t="shared" si="7"/>
        <v>2</v>
      </c>
    </row>
    <row r="514" spans="1:19">
      <c r="A514" s="307" t="str">
        <f>HYPERLINK("http://www.wantgoo.com/stock/chart.aspx?stockno=2731","2731")</f>
        <v>2731</v>
      </c>
      <c r="C514" s="18">
        <f>VLOOKUP(2731,季財報!A:H,3)</f>
        <v>0</v>
      </c>
      <c r="D514" s="18">
        <f>VLOOKUP(2731,季財報!A:H,4)</f>
        <v>0</v>
      </c>
      <c r="E514" s="18">
        <f>VLOOKUP(2731,季財報!A:H,5)</f>
        <v>1</v>
      </c>
      <c r="F514" s="18">
        <f>VLOOKUP(2731,季財報!A:H,6)</f>
        <v>0</v>
      </c>
      <c r="G514" s="18">
        <f>VLOOKUP(2731,季財報!A:H,7)</f>
        <v>0</v>
      </c>
      <c r="N514" s="20">
        <f t="shared" si="7"/>
        <v>1</v>
      </c>
    </row>
    <row r="515" spans="1:19">
      <c r="A515" s="308" t="str">
        <f>HYPERLINK("http://www.wantgoo.com/stock/chart.aspx?stockno=4721","4721")</f>
        <v>4721</v>
      </c>
      <c r="C515" s="18">
        <f>VLOOKUP(4721,季財報!A:H,3)</f>
        <v>1</v>
      </c>
      <c r="D515" s="18">
        <f>VLOOKUP(4721,季財報!A:H,4)</f>
        <v>1</v>
      </c>
      <c r="E515" s="18">
        <f>VLOOKUP(4721,季財報!A:H,5)</f>
        <v>0</v>
      </c>
      <c r="F515" s="18">
        <f>VLOOKUP(4721,季財報!A:H,6)</f>
        <v>1</v>
      </c>
      <c r="G515" s="18">
        <f>VLOOKUP(4721,季財報!A:H,7)</f>
        <v>0</v>
      </c>
      <c r="N515" s="20">
        <f t="shared" si="7"/>
        <v>3</v>
      </c>
    </row>
    <row r="516" spans="1:19">
      <c r="A516" s="307" t="str">
        <f>HYPERLINK("http://www.wantgoo.com/stock/chart.aspx?stockno=1303","1303")</f>
        <v>1303</v>
      </c>
      <c r="C516" s="18">
        <f>VLOOKUP(1303,季財報!A:H,3)</f>
        <v>0</v>
      </c>
      <c r="D516" s="18">
        <f>VLOOKUP(1303,季財報!A:H,4)</f>
        <v>1</v>
      </c>
      <c r="E516" s="18">
        <f>VLOOKUP(1303,季財報!A:H,5)</f>
        <v>0</v>
      </c>
      <c r="F516" s="18">
        <f>VLOOKUP(1303,季財報!A:H,6)</f>
        <v>1</v>
      </c>
      <c r="G516" s="18">
        <f>VLOOKUP(1303,季財報!A:H,7)</f>
        <v>0</v>
      </c>
      <c r="N516" s="20">
        <f t="shared" ref="N516:N579" si="8">SUM(C516:M516)</f>
        <v>2</v>
      </c>
    </row>
    <row r="517" spans="1:19">
      <c r="A517" s="307" t="str">
        <f>HYPERLINK("http://www.wantgoo.com/stock/chart.aspx?stockno=1459","1459")</f>
        <v>1459</v>
      </c>
      <c r="C517" s="18">
        <f>VLOOKUP(1459,季財報!A:H,3)</f>
        <v>0</v>
      </c>
      <c r="D517" s="18">
        <f>VLOOKUP(1459,季財報!A:H,4)</f>
        <v>0</v>
      </c>
      <c r="E517" s="18">
        <f>VLOOKUP(1459,季財報!A:H,5)</f>
        <v>0</v>
      </c>
      <c r="F517" s="18">
        <f>VLOOKUP(1459,季財報!A:H,6)</f>
        <v>1</v>
      </c>
      <c r="G517" s="18">
        <f>VLOOKUP(1459,季財報!A:H,7)</f>
        <v>0</v>
      </c>
      <c r="N517" s="20">
        <f t="shared" si="8"/>
        <v>1</v>
      </c>
    </row>
    <row r="518" spans="1:19">
      <c r="A518" s="308" t="str">
        <f>HYPERLINK("http://www.wantgoo.com/stock/chart.aspx?stockno=8103","8103")</f>
        <v>8103</v>
      </c>
      <c r="C518" s="18">
        <f>VLOOKUP(8103,季財報!A:H,3)</f>
        <v>0</v>
      </c>
      <c r="D518" s="18">
        <f>VLOOKUP(8103,季財報!A:H,4)</f>
        <v>0</v>
      </c>
      <c r="E518" s="18">
        <f>VLOOKUP(8103,季財報!A:H,5)</f>
        <v>0</v>
      </c>
      <c r="F518" s="18">
        <f>VLOOKUP(8103,季財報!A:H,6)</f>
        <v>1</v>
      </c>
      <c r="G518" s="18">
        <f>VLOOKUP(8103,季財報!A:H,7)</f>
        <v>0</v>
      </c>
      <c r="N518" s="20">
        <f t="shared" si="8"/>
        <v>1</v>
      </c>
    </row>
    <row r="519" spans="1:19" s="317" customFormat="1">
      <c r="A519" s="309" t="str">
        <f>HYPERLINK("http://www.wantgoo.com/stock/chart.aspx?stockno=4919","4919")</f>
        <v>4919</v>
      </c>
      <c r="B519" s="310"/>
      <c r="C519" s="311">
        <f>VLOOKUP(4919,季財報!A:H,3)</f>
        <v>0</v>
      </c>
      <c r="D519" s="311">
        <f>VLOOKUP(4919,季財報!A:H,4)</f>
        <v>1</v>
      </c>
      <c r="E519" s="311">
        <f>VLOOKUP(4919,季財報!A:H,5)</f>
        <v>0</v>
      </c>
      <c r="F519" s="311">
        <f>VLOOKUP(4919,季財報!A:H,6)</f>
        <v>0</v>
      </c>
      <c r="G519" s="311">
        <f>VLOOKUP(4919,季財報!A:H,7)</f>
        <v>0</v>
      </c>
      <c r="H519" s="312"/>
      <c r="I519" s="312"/>
      <c r="J519" s="312"/>
      <c r="K519" s="312"/>
      <c r="L519" s="312"/>
      <c r="M519" s="313"/>
      <c r="N519" s="312">
        <f t="shared" si="8"/>
        <v>1</v>
      </c>
      <c r="O519" s="314"/>
      <c r="P519" s="314"/>
      <c r="Q519" s="314"/>
      <c r="R519" s="314"/>
      <c r="S519" s="315"/>
    </row>
    <row r="520" spans="1:19">
      <c r="A520" s="307" t="str">
        <f>HYPERLINK("http://www.wantgoo.com/stock/chart.aspx?stockno=2450","2450")</f>
        <v>2450</v>
      </c>
      <c r="C520" s="18">
        <f>VLOOKUP(2450,季財報!A:H,3)</f>
        <v>0</v>
      </c>
      <c r="D520" s="18">
        <f>VLOOKUP(2450,季財報!A:H,4)</f>
        <v>1</v>
      </c>
      <c r="E520" s="18">
        <f>VLOOKUP(2450,季財報!A:H,5)</f>
        <v>1</v>
      </c>
      <c r="F520" s="18">
        <f>VLOOKUP(2450,季財報!A:H,6)</f>
        <v>1</v>
      </c>
      <c r="G520" s="18">
        <f>VLOOKUP(2450,季財報!A:H,7)</f>
        <v>0</v>
      </c>
      <c r="N520" s="20">
        <f t="shared" si="8"/>
        <v>3</v>
      </c>
    </row>
    <row r="521" spans="1:19">
      <c r="A521" s="308" t="str">
        <f>HYPERLINK("http://www.wantgoo.com/stock/chart.aspx?stockno=3402","3402")</f>
        <v>3402</v>
      </c>
      <c r="C521" s="18">
        <f>VLOOKUP(3402,季財報!A:H,3)</f>
        <v>0</v>
      </c>
      <c r="D521" s="18">
        <f>VLOOKUP(3402,季財報!A:H,4)</f>
        <v>0</v>
      </c>
      <c r="E521" s="18">
        <f>VLOOKUP(3402,季財報!A:H,5)</f>
        <v>0</v>
      </c>
      <c r="F521" s="18">
        <f>VLOOKUP(3402,季財報!A:H,6)</f>
        <v>1</v>
      </c>
      <c r="G521" s="18">
        <f>VLOOKUP(3402,季財報!A:H,7)</f>
        <v>0</v>
      </c>
      <c r="N521" s="20">
        <f t="shared" si="8"/>
        <v>1</v>
      </c>
    </row>
    <row r="522" spans="1:19">
      <c r="A522" s="307" t="str">
        <f>HYPERLINK("http://www.wantgoo.com/stock/chart.aspx?stockno=4984","4984")</f>
        <v>4984</v>
      </c>
      <c r="C522" s="18">
        <f>VLOOKUP(4984,季財報!A:H,3)</f>
        <v>1</v>
      </c>
      <c r="D522" s="18">
        <f>VLOOKUP(4984,季財報!A:H,4)</f>
        <v>1</v>
      </c>
      <c r="E522" s="18">
        <f>VLOOKUP(4984,季財報!A:H,5)</f>
        <v>1</v>
      </c>
      <c r="F522" s="18">
        <f>VLOOKUP(4984,季財報!A:H,6)</f>
        <v>1</v>
      </c>
      <c r="G522" s="18">
        <f>VLOOKUP(4984,季財報!A:H,7)</f>
        <v>0</v>
      </c>
      <c r="N522" s="20">
        <f t="shared" si="8"/>
        <v>4</v>
      </c>
    </row>
    <row r="523" spans="1:19">
      <c r="A523" s="307" t="str">
        <f>HYPERLINK("http://www.wantgoo.com/stock/chart.aspx?stockno=2605","2605")</f>
        <v>2605</v>
      </c>
      <c r="C523" s="18">
        <f>VLOOKUP(2605,季財報!A:H,3)</f>
        <v>1</v>
      </c>
      <c r="D523" s="18">
        <f>VLOOKUP(2605,季財報!A:H,4)</f>
        <v>1</v>
      </c>
      <c r="E523" s="18">
        <f>VLOOKUP(2605,季財報!A:H,5)</f>
        <v>2</v>
      </c>
      <c r="F523" s="18">
        <f>VLOOKUP(2605,季財報!A:H,6)</f>
        <v>1</v>
      </c>
      <c r="G523" s="18">
        <f>VLOOKUP(2605,季財報!A:H,7)</f>
        <v>0</v>
      </c>
      <c r="N523" s="20">
        <f t="shared" si="8"/>
        <v>5</v>
      </c>
    </row>
    <row r="524" spans="1:19">
      <c r="A524" s="307" t="str">
        <f>HYPERLINK("http://www.wantgoo.com/stock/chart.aspx?stockno=5305","5305")</f>
        <v>5305</v>
      </c>
      <c r="C524" s="18">
        <f>VLOOKUP(5305,季財報!A:H,3)</f>
        <v>0</v>
      </c>
      <c r="D524" s="18">
        <f>VLOOKUP(5305,季財報!A:H,4)</f>
        <v>0</v>
      </c>
      <c r="E524" s="18">
        <f>VLOOKUP(5305,季財報!A:H,5)</f>
        <v>0</v>
      </c>
      <c r="F524" s="18">
        <f>VLOOKUP(5305,季財報!A:H,6)</f>
        <v>1</v>
      </c>
      <c r="G524" s="18">
        <f>VLOOKUP(5305,季財報!A:H,7)</f>
        <v>0</v>
      </c>
      <c r="N524" s="20">
        <f t="shared" si="8"/>
        <v>1</v>
      </c>
    </row>
    <row r="525" spans="1:19">
      <c r="A525" s="307" t="str">
        <f>HYPERLINK("http://www.wantgoo.com/stock/chart.aspx?stockno=1233","1233")</f>
        <v>1233</v>
      </c>
      <c r="C525" s="18">
        <f>VLOOKUP(1233,季財報!A:H,3)</f>
        <v>0</v>
      </c>
      <c r="D525" s="18">
        <f>VLOOKUP(1233,季財報!A:H,4)</f>
        <v>1</v>
      </c>
      <c r="E525" s="18">
        <f>VLOOKUP(1233,季財報!A:H,5)</f>
        <v>1</v>
      </c>
      <c r="F525" s="18">
        <f>VLOOKUP(1233,季財報!A:H,6)</f>
        <v>1</v>
      </c>
      <c r="G525" s="18">
        <f>VLOOKUP(1233,季財報!A:H,7)</f>
        <v>0</v>
      </c>
      <c r="N525" s="20">
        <f t="shared" si="8"/>
        <v>3</v>
      </c>
    </row>
    <row r="526" spans="1:19">
      <c r="A526" s="308" t="str">
        <f>HYPERLINK("http://www.wantgoo.com/stock/chart.aspx?stockno=5306","5306")</f>
        <v>5306</v>
      </c>
      <c r="C526" s="18">
        <f>VLOOKUP(5306,季財報!A:H,3)</f>
        <v>1</v>
      </c>
      <c r="D526" s="18">
        <f>VLOOKUP(5306,季財報!A:H,4)</f>
        <v>1</v>
      </c>
      <c r="E526" s="18">
        <f>VLOOKUP(5306,季財報!A:H,5)</f>
        <v>1</v>
      </c>
      <c r="F526" s="18">
        <f>VLOOKUP(5306,季財報!A:H,6)</f>
        <v>1</v>
      </c>
      <c r="G526" s="18">
        <f>VLOOKUP(5306,季財報!A:H,7)</f>
        <v>0</v>
      </c>
      <c r="N526" s="20">
        <f t="shared" si="8"/>
        <v>4</v>
      </c>
    </row>
    <row r="527" spans="1:19">
      <c r="A527" s="308" t="str">
        <f>HYPERLINK("http://www.wantgoo.com/stock/chart.aspx?stockno=6173","6173")</f>
        <v>6173</v>
      </c>
      <c r="C527" s="18">
        <f>VLOOKUP(6173,季財報!A:H,3)</f>
        <v>0</v>
      </c>
      <c r="D527" s="18">
        <f>VLOOKUP(6173,季財報!A:H,4)</f>
        <v>1</v>
      </c>
      <c r="E527" s="18">
        <f>VLOOKUP(6173,季財報!A:H,5)</f>
        <v>0</v>
      </c>
      <c r="F527" s="18">
        <f>VLOOKUP(6173,季財報!A:H,6)</f>
        <v>0</v>
      </c>
      <c r="G527" s="18">
        <f>VLOOKUP(6173,季財報!A:H,7)</f>
        <v>0</v>
      </c>
      <c r="N527" s="20">
        <f t="shared" si="8"/>
        <v>1</v>
      </c>
    </row>
    <row r="528" spans="1:19">
      <c r="A528" s="307" t="str">
        <f>HYPERLINK("http://www.wantgoo.com/stock/chart.aspx?stockno=3588","3588")</f>
        <v>3588</v>
      </c>
      <c r="C528" s="18">
        <f>VLOOKUP(3588,季財報!A:H,3)</f>
        <v>1</v>
      </c>
      <c r="D528" s="18">
        <f>VLOOKUP(3588,季財報!A:H,4)</f>
        <v>1</v>
      </c>
      <c r="E528" s="18">
        <f>VLOOKUP(3588,季財報!A:H,5)</f>
        <v>1</v>
      </c>
      <c r="F528" s="18">
        <f>VLOOKUP(3588,季財報!A:H,6)</f>
        <v>0</v>
      </c>
      <c r="G528" s="18">
        <f>VLOOKUP(3588,季財報!A:H,7)</f>
        <v>0</v>
      </c>
      <c r="N528" s="20">
        <f t="shared" si="8"/>
        <v>3</v>
      </c>
    </row>
    <row r="529" spans="1:14">
      <c r="A529" s="307" t="str">
        <f>HYPERLINK("http://www.wantgoo.com/stock/chart.aspx?stockno=1203","1203")</f>
        <v>1203</v>
      </c>
      <c r="C529" s="18">
        <f>VLOOKUP(1203,季財報!A:H,3)</f>
        <v>0</v>
      </c>
      <c r="D529" s="18">
        <f>VLOOKUP(1203,季財報!A:H,4)</f>
        <v>1</v>
      </c>
      <c r="E529" s="18">
        <f>VLOOKUP(1203,季財報!A:H,5)</f>
        <v>2</v>
      </c>
      <c r="F529" s="18">
        <f>VLOOKUP(1203,季財報!A:H,6)</f>
        <v>1</v>
      </c>
      <c r="G529" s="18">
        <f>VLOOKUP(1203,季財報!A:H,7)</f>
        <v>1</v>
      </c>
      <c r="N529" s="20">
        <f t="shared" si="8"/>
        <v>5</v>
      </c>
    </row>
    <row r="530" spans="1:14">
      <c r="A530" s="307" t="str">
        <f>HYPERLINK("http://www.wantgoo.com/stock/chart.aspx?stockno=3211","3211")</f>
        <v>3211</v>
      </c>
      <c r="C530" s="18">
        <f>VLOOKUP(3211,季財報!A:H,3)</f>
        <v>0</v>
      </c>
      <c r="D530" s="18">
        <f>VLOOKUP(3211,季財報!A:H,4)</f>
        <v>1</v>
      </c>
      <c r="E530" s="18">
        <f>VLOOKUP(3211,季財報!A:H,5)</f>
        <v>0</v>
      </c>
      <c r="F530" s="18">
        <f>VLOOKUP(3211,季財報!A:H,6)</f>
        <v>1</v>
      </c>
      <c r="G530" s="18">
        <f>VLOOKUP(3211,季財報!A:H,7)</f>
        <v>0</v>
      </c>
      <c r="N530" s="20">
        <f t="shared" si="8"/>
        <v>2</v>
      </c>
    </row>
    <row r="531" spans="1:14">
      <c r="A531" s="308" t="str">
        <f>HYPERLINK("http://www.wantgoo.com/stock/chart.aspx?stockno=3705","3705")</f>
        <v>3705</v>
      </c>
      <c r="C531" s="18">
        <f>VLOOKUP(3705,季財報!A:H,3)</f>
        <v>1</v>
      </c>
      <c r="D531" s="18">
        <f>VLOOKUP(3705,季財報!A:H,4)</f>
        <v>1</v>
      </c>
      <c r="E531" s="18">
        <f>VLOOKUP(3705,季財報!A:H,5)</f>
        <v>0</v>
      </c>
      <c r="F531" s="18">
        <f>VLOOKUP(3705,季財報!A:H,6)</f>
        <v>0</v>
      </c>
      <c r="G531" s="18">
        <f>VLOOKUP(3705,季財報!A:H,7)</f>
        <v>0</v>
      </c>
      <c r="N531" s="20">
        <f t="shared" si="8"/>
        <v>2</v>
      </c>
    </row>
    <row r="532" spans="1:14">
      <c r="A532" s="308" t="str">
        <f>HYPERLINK("http://www.wantgoo.com/stock/chart.aspx?stockno=4804","4804")</f>
        <v>4804</v>
      </c>
      <c r="C532" s="18">
        <f>VLOOKUP(4804,季財報!A:H,3)</f>
        <v>1</v>
      </c>
      <c r="D532" s="18">
        <f>VLOOKUP(4804,季財報!A:H,4)</f>
        <v>1</v>
      </c>
      <c r="E532" s="18">
        <f>VLOOKUP(4804,季財報!A:H,5)</f>
        <v>0</v>
      </c>
      <c r="F532" s="18">
        <f>VLOOKUP(4804,季財報!A:H,6)</f>
        <v>1</v>
      </c>
      <c r="G532" s="18">
        <f>VLOOKUP(4804,季財報!A:H,7)</f>
        <v>0</v>
      </c>
      <c r="N532" s="20">
        <f t="shared" si="8"/>
        <v>3</v>
      </c>
    </row>
    <row r="533" spans="1:14">
      <c r="A533" s="307" t="str">
        <f>HYPERLINK("http://www.wantgoo.com/stock/chart.aspx?stockno=5538","5538")</f>
        <v>5538</v>
      </c>
      <c r="C533" s="18">
        <f>VLOOKUP(5538,季財報!A:H,3)</f>
        <v>0</v>
      </c>
      <c r="D533" s="18">
        <f>VLOOKUP(5538,季財報!A:H,4)</f>
        <v>0</v>
      </c>
      <c r="E533" s="18">
        <f>VLOOKUP(5538,季財報!A:H,5)</f>
        <v>0</v>
      </c>
      <c r="F533" s="18">
        <f>VLOOKUP(5538,季財報!A:H,6)</f>
        <v>1</v>
      </c>
      <c r="G533" s="18">
        <f>VLOOKUP(5538,季財報!A:H,7)</f>
        <v>0</v>
      </c>
      <c r="N533" s="20">
        <f t="shared" si="8"/>
        <v>1</v>
      </c>
    </row>
    <row r="534" spans="1:14">
      <c r="A534" s="308" t="str">
        <f>HYPERLINK("http://www.wantgoo.com/stock/chart.aspx?stockno=6414","6414")</f>
        <v>6414</v>
      </c>
      <c r="C534" s="18">
        <f>VLOOKUP(6414,季財報!A:H,3)</f>
        <v>1</v>
      </c>
      <c r="D534" s="18">
        <f>VLOOKUP(6414,季財報!A:H,4)</f>
        <v>1</v>
      </c>
      <c r="E534" s="18">
        <f>VLOOKUP(6414,季財報!A:H,5)</f>
        <v>0</v>
      </c>
      <c r="F534" s="18">
        <f>VLOOKUP(6414,季財報!A:H,6)</f>
        <v>1</v>
      </c>
      <c r="G534" s="18">
        <f>VLOOKUP(6414,季財報!A:H,7)</f>
        <v>0</v>
      </c>
      <c r="N534" s="20">
        <f t="shared" si="8"/>
        <v>3</v>
      </c>
    </row>
    <row r="535" spans="1:14">
      <c r="A535" s="307" t="str">
        <f>HYPERLINK("http://www.wantgoo.com/stock/chart.aspx?stockno=2357","2357")</f>
        <v>2357</v>
      </c>
      <c r="C535" s="18">
        <f>VLOOKUP(2357,季財報!A:H,3)</f>
        <v>0</v>
      </c>
      <c r="D535" s="18">
        <f>VLOOKUP(2357,季財報!A:H,4)</f>
        <v>0</v>
      </c>
      <c r="E535" s="18">
        <f>VLOOKUP(2357,季財報!A:H,5)</f>
        <v>0</v>
      </c>
      <c r="F535" s="18">
        <f>VLOOKUP(2357,季財報!A:H,6)</f>
        <v>0</v>
      </c>
      <c r="G535" s="18">
        <f>VLOOKUP(2357,季財報!A:H,7)</f>
        <v>0</v>
      </c>
      <c r="N535" s="20">
        <f t="shared" si="8"/>
        <v>0</v>
      </c>
    </row>
    <row r="536" spans="1:14">
      <c r="A536" s="307" t="str">
        <f>HYPERLINK("http://www.wantgoo.com/stock/chart.aspx?stockno=4536","4536")</f>
        <v>4536</v>
      </c>
      <c r="C536" s="18">
        <f>VLOOKUP(4536,季財報!A:H,3)</f>
        <v>1</v>
      </c>
      <c r="D536" s="18">
        <f>VLOOKUP(4536,季財報!A:H,4)</f>
        <v>1</v>
      </c>
      <c r="E536" s="18">
        <f>VLOOKUP(4536,季財報!A:H,5)</f>
        <v>2</v>
      </c>
      <c r="F536" s="18">
        <f>VLOOKUP(4536,季財報!A:H,6)</f>
        <v>1</v>
      </c>
      <c r="G536" s="18">
        <f>VLOOKUP(4536,季財報!A:H,7)</f>
        <v>0</v>
      </c>
      <c r="N536" s="20">
        <f t="shared" si="8"/>
        <v>5</v>
      </c>
    </row>
    <row r="537" spans="1:14">
      <c r="A537" s="308" t="str">
        <f>HYPERLINK("http://www.wantgoo.com/stock/chart.aspx?stockno=1307","1307")</f>
        <v>1307</v>
      </c>
      <c r="C537" s="18">
        <f>VLOOKUP(1307,季財報!A:H,3)</f>
        <v>1</v>
      </c>
      <c r="D537" s="18">
        <f>VLOOKUP(1307,季財報!A:H,4)</f>
        <v>1</v>
      </c>
      <c r="E537" s="18">
        <f>VLOOKUP(1307,季財報!A:H,5)</f>
        <v>2</v>
      </c>
      <c r="F537" s="18">
        <f>VLOOKUP(1307,季財報!A:H,6)</f>
        <v>1</v>
      </c>
      <c r="G537" s="18">
        <f>VLOOKUP(1307,季財報!A:H,7)</f>
        <v>0</v>
      </c>
      <c r="N537" s="20">
        <f t="shared" si="8"/>
        <v>5</v>
      </c>
    </row>
    <row r="538" spans="1:14">
      <c r="A538" s="307" t="str">
        <f>HYPERLINK("http://www.wantgoo.com/stock/chart.aspx?stockno=4138","4138")</f>
        <v>4138</v>
      </c>
      <c r="C538" s="18">
        <f>VLOOKUP(4138,季財報!A:H,3)</f>
        <v>0</v>
      </c>
      <c r="D538" s="18">
        <f>VLOOKUP(4138,季財報!A:H,4)</f>
        <v>1</v>
      </c>
      <c r="E538" s="18">
        <f>VLOOKUP(4138,季財報!A:H,5)</f>
        <v>2</v>
      </c>
      <c r="F538" s="18">
        <f>VLOOKUP(4138,季財報!A:H,6)</f>
        <v>0</v>
      </c>
      <c r="G538" s="18">
        <f>VLOOKUP(4138,季財報!A:H,7)</f>
        <v>0</v>
      </c>
      <c r="N538" s="20">
        <f t="shared" si="8"/>
        <v>3</v>
      </c>
    </row>
    <row r="539" spans="1:14">
      <c r="A539" s="307" t="str">
        <f>HYPERLINK("http://www.wantgoo.com/stock/chart.aspx?stockno=5386","5386")</f>
        <v>5386</v>
      </c>
      <c r="C539" s="18">
        <f>VLOOKUP(5386,季財報!A:H,3)</f>
        <v>0</v>
      </c>
      <c r="D539" s="18">
        <f>VLOOKUP(5386,季財報!A:H,4)</f>
        <v>1</v>
      </c>
      <c r="E539" s="18">
        <f>VLOOKUP(5386,季財報!A:H,5)</f>
        <v>0</v>
      </c>
      <c r="F539" s="18">
        <f>VLOOKUP(5386,季財報!A:H,6)</f>
        <v>1</v>
      </c>
      <c r="G539" s="18">
        <f>VLOOKUP(5386,季財報!A:H,7)</f>
        <v>0</v>
      </c>
      <c r="N539" s="20">
        <f t="shared" si="8"/>
        <v>2</v>
      </c>
    </row>
    <row r="540" spans="1:14">
      <c r="A540" s="308" t="str">
        <f>HYPERLINK("http://www.wantgoo.com/stock/chart.aspx?stockno=9917","9917")</f>
        <v>9917</v>
      </c>
      <c r="C540" s="18">
        <f>VLOOKUP(9917,季財報!A:H,3)</f>
        <v>0</v>
      </c>
      <c r="D540" s="18">
        <f>VLOOKUP(9917,季財報!A:H,4)</f>
        <v>1</v>
      </c>
      <c r="E540" s="18">
        <f>VLOOKUP(9917,季財報!A:H,5)</f>
        <v>1</v>
      </c>
      <c r="F540" s="18">
        <f>VLOOKUP(9917,季財報!A:H,6)</f>
        <v>0</v>
      </c>
      <c r="G540" s="18">
        <f>VLOOKUP(9917,季財報!A:H,7)</f>
        <v>0</v>
      </c>
      <c r="N540" s="20">
        <f t="shared" si="8"/>
        <v>2</v>
      </c>
    </row>
    <row r="541" spans="1:14">
      <c r="A541" s="308" t="str">
        <f>HYPERLINK("http://www.wantgoo.com/stock/chart.aspx?stockno=9938","9938")</f>
        <v>9938</v>
      </c>
      <c r="C541" s="18">
        <f>VLOOKUP(9938,季財報!A:H,3)</f>
        <v>1</v>
      </c>
      <c r="D541" s="18">
        <f>VLOOKUP(9938,季財報!A:H,4)</f>
        <v>1</v>
      </c>
      <c r="E541" s="18">
        <f>VLOOKUP(9938,季財報!A:H,5)</f>
        <v>0</v>
      </c>
      <c r="F541" s="18">
        <f>VLOOKUP(9938,季財報!A:H,6)</f>
        <v>1</v>
      </c>
      <c r="G541" s="18">
        <f>VLOOKUP(9938,季財報!A:H,7)</f>
        <v>0</v>
      </c>
      <c r="N541" s="20">
        <f t="shared" si="8"/>
        <v>3</v>
      </c>
    </row>
    <row r="542" spans="1:14">
      <c r="A542" s="308" t="str">
        <f>HYPERLINK("http://www.wantgoo.com/stock/chart.aspx?stockno=5904","5904")</f>
        <v>5904</v>
      </c>
      <c r="C542" s="18">
        <f>VLOOKUP(5904,季財報!A:H,3)</f>
        <v>1</v>
      </c>
      <c r="D542" s="18">
        <f>VLOOKUP(5904,季財報!A:H,4)</f>
        <v>1</v>
      </c>
      <c r="E542" s="18">
        <f>VLOOKUP(5904,季財報!A:H,5)</f>
        <v>0</v>
      </c>
      <c r="F542" s="18">
        <f>VLOOKUP(5904,季財報!A:H,6)</f>
        <v>1</v>
      </c>
      <c r="G542" s="18">
        <f>VLOOKUP(5904,季財報!A:H,7)</f>
        <v>1</v>
      </c>
      <c r="N542" s="20">
        <f t="shared" si="8"/>
        <v>4</v>
      </c>
    </row>
    <row r="543" spans="1:14">
      <c r="A543" s="308" t="str">
        <f>HYPERLINK("http://www.wantgoo.com/stock/chart.aspx?stockno=2049","2049")</f>
        <v>2049</v>
      </c>
      <c r="C543" s="18">
        <f>VLOOKUP(2049,季財報!A:H,3)</f>
        <v>0</v>
      </c>
      <c r="D543" s="18">
        <f>VLOOKUP(2049,季財報!A:H,4)</f>
        <v>1</v>
      </c>
      <c r="E543" s="18">
        <f>VLOOKUP(2049,季財報!A:H,5)</f>
        <v>0</v>
      </c>
      <c r="F543" s="18">
        <f>VLOOKUP(2049,季財報!A:H,6)</f>
        <v>1</v>
      </c>
      <c r="G543" s="18">
        <f>VLOOKUP(2049,季財報!A:H,7)</f>
        <v>1</v>
      </c>
      <c r="N543" s="20">
        <f t="shared" si="8"/>
        <v>3</v>
      </c>
    </row>
    <row r="544" spans="1:14">
      <c r="A544" s="308" t="str">
        <f>HYPERLINK("http://www.wantgoo.com/stock/chart.aspx?stockno=3122","3122")</f>
        <v>3122</v>
      </c>
      <c r="C544" s="18">
        <f>VLOOKUP(3122,季財報!A:H,3)</f>
        <v>0</v>
      </c>
      <c r="D544" s="18">
        <f>VLOOKUP(3122,季財報!A:H,4)</f>
        <v>0</v>
      </c>
      <c r="E544" s="18">
        <f>VLOOKUP(3122,季財報!A:H,5)</f>
        <v>0</v>
      </c>
      <c r="F544" s="18">
        <f>VLOOKUP(3122,季財報!A:H,6)</f>
        <v>1</v>
      </c>
      <c r="G544" s="18">
        <f>VLOOKUP(3122,季財報!A:H,7)</f>
        <v>0</v>
      </c>
      <c r="N544" s="20">
        <f t="shared" si="8"/>
        <v>1</v>
      </c>
    </row>
    <row r="545" spans="1:14">
      <c r="A545" s="307" t="str">
        <f>HYPERLINK("http://www.wantgoo.com/stock/chart.aspx?stockno=3205","3205")</f>
        <v>3205</v>
      </c>
      <c r="C545" s="18">
        <f>VLOOKUP(3205,季財報!A:H,3)</f>
        <v>1</v>
      </c>
      <c r="D545" s="18">
        <f>VLOOKUP(3205,季財報!A:H,4)</f>
        <v>1</v>
      </c>
      <c r="E545" s="18">
        <f>VLOOKUP(3205,季財報!A:H,5)</f>
        <v>2</v>
      </c>
      <c r="F545" s="18">
        <f>VLOOKUP(3205,季財報!A:H,6)</f>
        <v>1</v>
      </c>
      <c r="G545" s="18">
        <f>VLOOKUP(3205,季財報!A:H,7)</f>
        <v>0</v>
      </c>
      <c r="N545" s="20">
        <f t="shared" si="8"/>
        <v>5</v>
      </c>
    </row>
    <row r="546" spans="1:14">
      <c r="A546" s="308" t="str">
        <f>HYPERLINK("http://www.wantgoo.com/stock/chart.aspx?stockno=5355","5355")</f>
        <v>5355</v>
      </c>
      <c r="C546" s="18">
        <f>VLOOKUP(5355,季財報!A:H,3)</f>
        <v>0</v>
      </c>
      <c r="D546" s="18">
        <f>VLOOKUP(5355,季財報!A:H,4)</f>
        <v>1</v>
      </c>
      <c r="E546" s="18">
        <f>VLOOKUP(5355,季財報!A:H,5)</f>
        <v>0</v>
      </c>
      <c r="F546" s="18">
        <f>VLOOKUP(5355,季財報!A:H,6)</f>
        <v>1</v>
      </c>
      <c r="G546" s="18">
        <f>VLOOKUP(5355,季財報!A:H,7)</f>
        <v>0</v>
      </c>
      <c r="N546" s="20">
        <f t="shared" si="8"/>
        <v>2</v>
      </c>
    </row>
    <row r="547" spans="1:14">
      <c r="A547" s="307" t="str">
        <f>HYPERLINK("http://www.wantgoo.com/stock/chart.aspx?stockno=4968","4968")</f>
        <v>4968</v>
      </c>
      <c r="C547" s="18">
        <f>VLOOKUP(4968,季財報!A:H,3)</f>
        <v>0</v>
      </c>
      <c r="D547" s="18">
        <f>VLOOKUP(4968,季財報!A:H,4)</f>
        <v>0</v>
      </c>
      <c r="E547" s="18">
        <f>VLOOKUP(4968,季財報!A:H,5)</f>
        <v>2</v>
      </c>
      <c r="F547" s="18">
        <f>VLOOKUP(4968,季財報!A:H,6)</f>
        <v>0</v>
      </c>
      <c r="G547" s="18">
        <f>VLOOKUP(4968,季財報!A:H,7)</f>
        <v>0</v>
      </c>
      <c r="N547" s="20">
        <f t="shared" si="8"/>
        <v>2</v>
      </c>
    </row>
    <row r="548" spans="1:14">
      <c r="A548" s="308" t="str">
        <f>HYPERLINK("http://www.wantgoo.com/stock/chart.aspx?stockno=6411","6411")</f>
        <v>6411</v>
      </c>
      <c r="C548" s="18">
        <f>VLOOKUP(6411,季財報!A:H,3)</f>
        <v>1</v>
      </c>
      <c r="D548" s="18">
        <f>VLOOKUP(6411,季財報!A:H,4)</f>
        <v>1</v>
      </c>
      <c r="E548" s="18">
        <f>VLOOKUP(6411,季財報!A:H,5)</f>
        <v>0</v>
      </c>
      <c r="F548" s="18">
        <f>VLOOKUP(6411,季財報!A:H,6)</f>
        <v>0</v>
      </c>
      <c r="G548" s="18">
        <f>VLOOKUP(6411,季財報!A:H,7)</f>
        <v>0</v>
      </c>
      <c r="N548" s="20">
        <f t="shared" si="8"/>
        <v>2</v>
      </c>
    </row>
    <row r="549" spans="1:14">
      <c r="A549" s="307" t="str">
        <f>HYPERLINK("http://www.wantgoo.com/stock/chart.aspx?stockno=2395","2395")</f>
        <v>2395</v>
      </c>
      <c r="C549" s="18">
        <f>VLOOKUP(2395,季財報!A:H,3)</f>
        <v>0</v>
      </c>
      <c r="D549" s="18">
        <f>VLOOKUP(2395,季財報!A:H,4)</f>
        <v>0</v>
      </c>
      <c r="E549" s="18">
        <f>VLOOKUP(2395,季財報!A:H,5)</f>
        <v>0</v>
      </c>
      <c r="F549" s="18">
        <f>VLOOKUP(2395,季財報!A:H,6)</f>
        <v>1</v>
      </c>
      <c r="G549" s="18">
        <f>VLOOKUP(2395,季財報!A:H,7)</f>
        <v>0</v>
      </c>
      <c r="N549" s="20">
        <f t="shared" si="8"/>
        <v>1</v>
      </c>
    </row>
    <row r="550" spans="1:14">
      <c r="A550" s="307" t="str">
        <f>HYPERLINK("http://www.wantgoo.com/stock/chart.aspx?stockno=3171","3171")</f>
        <v>3171</v>
      </c>
      <c r="C550" s="18">
        <f>VLOOKUP(3171,季財報!A:H,3)</f>
        <v>0</v>
      </c>
      <c r="D550" s="18">
        <f>VLOOKUP(3171,季財報!A:H,4)</f>
        <v>1</v>
      </c>
      <c r="E550" s="18">
        <f>VLOOKUP(3171,季財報!A:H,5)</f>
        <v>1</v>
      </c>
      <c r="F550" s="18">
        <f>VLOOKUP(3171,季財報!A:H,6)</f>
        <v>1</v>
      </c>
      <c r="G550" s="18">
        <f>VLOOKUP(3171,季財報!A:H,7)</f>
        <v>0</v>
      </c>
      <c r="N550" s="20">
        <f t="shared" si="8"/>
        <v>3</v>
      </c>
    </row>
    <row r="551" spans="1:14">
      <c r="A551" s="308" t="str">
        <f>HYPERLINK("http://www.wantgoo.com/stock/chart.aspx?stockno=4190","4190")</f>
        <v>4190</v>
      </c>
      <c r="C551" s="18">
        <f>VLOOKUP(4190,季財報!A:H,3)</f>
        <v>0</v>
      </c>
      <c r="D551" s="18">
        <f>VLOOKUP(4190,季財報!A:H,4)</f>
        <v>1</v>
      </c>
      <c r="E551" s="18">
        <f>VLOOKUP(4190,季財報!A:H,5)</f>
        <v>0</v>
      </c>
      <c r="F551" s="18">
        <f>VLOOKUP(4190,季財報!A:H,6)</f>
        <v>1</v>
      </c>
      <c r="G551" s="18">
        <f>VLOOKUP(4190,季財報!A:H,7)</f>
        <v>0</v>
      </c>
      <c r="N551" s="20">
        <f t="shared" si="8"/>
        <v>2</v>
      </c>
    </row>
    <row r="552" spans="1:14">
      <c r="A552" s="307" t="str">
        <f>HYPERLINK("http://www.wantgoo.com/stock/chart.aspx?stockno=2412","2412")</f>
        <v>2412</v>
      </c>
      <c r="C552" s="18">
        <f>VLOOKUP(2412,季財報!A:H,3)</f>
        <v>1</v>
      </c>
      <c r="D552" s="18">
        <f>VLOOKUP(2412,季財報!A:H,4)</f>
        <v>1</v>
      </c>
      <c r="E552" s="18">
        <f>VLOOKUP(2412,季財報!A:H,5)</f>
        <v>0</v>
      </c>
      <c r="F552" s="18">
        <f>VLOOKUP(2412,季財報!A:H,6)</f>
        <v>1</v>
      </c>
      <c r="G552" s="18">
        <f>VLOOKUP(2412,季財報!A:H,7)</f>
        <v>0</v>
      </c>
      <c r="N552" s="20">
        <f t="shared" si="8"/>
        <v>3</v>
      </c>
    </row>
    <row r="553" spans="1:14">
      <c r="A553" s="308" t="str">
        <f>HYPERLINK("http://www.wantgoo.com/stock/chart.aspx?stockno=4401","4401")</f>
        <v>4401</v>
      </c>
      <c r="C553" s="18">
        <f>VLOOKUP(4401,季財報!A:H,3)</f>
        <v>0</v>
      </c>
      <c r="D553" s="18">
        <f>VLOOKUP(4401,季財報!A:H,4)</f>
        <v>1</v>
      </c>
      <c r="E553" s="18">
        <f>VLOOKUP(4401,季財報!A:H,5)</f>
        <v>0</v>
      </c>
      <c r="F553" s="18">
        <f>VLOOKUP(4401,季財報!A:H,6)</f>
        <v>1</v>
      </c>
      <c r="G553" s="18">
        <f>VLOOKUP(4401,季財報!A:H,7)</f>
        <v>0</v>
      </c>
      <c r="N553" s="20">
        <f t="shared" si="8"/>
        <v>2</v>
      </c>
    </row>
    <row r="554" spans="1:14">
      <c r="A554" s="308" t="str">
        <f>HYPERLINK("http://www.wantgoo.com/stock/chart.aspx?stockno=3057","3057")</f>
        <v>3057</v>
      </c>
      <c r="C554" s="18">
        <f>VLOOKUP(3057,季財報!A:H,3)</f>
        <v>0</v>
      </c>
      <c r="D554" s="18">
        <f>VLOOKUP(3057,季財報!A:H,4)</f>
        <v>1</v>
      </c>
      <c r="E554" s="18">
        <f>VLOOKUP(3057,季財報!A:H,5)</f>
        <v>0</v>
      </c>
      <c r="F554" s="18">
        <f>VLOOKUP(3057,季財報!A:H,6)</f>
        <v>1</v>
      </c>
      <c r="G554" s="18">
        <f>VLOOKUP(3057,季財報!A:H,7)</f>
        <v>0</v>
      </c>
      <c r="N554" s="20">
        <f t="shared" si="8"/>
        <v>2</v>
      </c>
    </row>
    <row r="555" spans="1:14">
      <c r="A555" s="307" t="str">
        <f>HYPERLINK("http://www.wantgoo.com/stock/chart.aspx?stockno=8341","8341")</f>
        <v>8341</v>
      </c>
      <c r="C555" s="18">
        <f>VLOOKUP(8341,季財報!A:H,3)</f>
        <v>1</v>
      </c>
      <c r="D555" s="18">
        <f>VLOOKUP(8341,季財報!A:H,4)</f>
        <v>1</v>
      </c>
      <c r="E555" s="18">
        <f>VLOOKUP(8341,季財報!A:H,5)</f>
        <v>1</v>
      </c>
      <c r="F555" s="18">
        <f>VLOOKUP(8341,季財報!A:H,6)</f>
        <v>1</v>
      </c>
      <c r="G555" s="18">
        <f>VLOOKUP(8341,季財報!A:H,7)</f>
        <v>0</v>
      </c>
      <c r="N555" s="20">
        <f t="shared" si="8"/>
        <v>4</v>
      </c>
    </row>
    <row r="556" spans="1:14">
      <c r="A556" s="307" t="str">
        <f>HYPERLINK("http://www.wantgoo.com/stock/chart.aspx?stockno=5245","5245")</f>
        <v>5245</v>
      </c>
      <c r="C556" s="18">
        <f>VLOOKUP(5245,季財報!A:H,3)</f>
        <v>1</v>
      </c>
      <c r="D556" s="18">
        <f>VLOOKUP(5245,季財報!A:H,4)</f>
        <v>1</v>
      </c>
      <c r="E556" s="18">
        <f>VLOOKUP(5245,季財報!A:H,5)</f>
        <v>2</v>
      </c>
      <c r="F556" s="18">
        <f>VLOOKUP(5245,季財報!A:H,6)</f>
        <v>1</v>
      </c>
      <c r="G556" s="18">
        <f>VLOOKUP(5245,季財報!A:H,7)</f>
        <v>1</v>
      </c>
      <c r="N556" s="20">
        <f t="shared" si="8"/>
        <v>6</v>
      </c>
    </row>
    <row r="557" spans="1:14">
      <c r="A557" s="307" t="str">
        <f>HYPERLINK("http://www.wantgoo.com/stock/chart.aspx?stockno=4532","4532")</f>
        <v>4532</v>
      </c>
      <c r="C557" s="18">
        <f>VLOOKUP(4532,季財報!A:H,3)</f>
        <v>0</v>
      </c>
      <c r="D557" s="18">
        <f>VLOOKUP(4532,季財報!A:H,4)</f>
        <v>1</v>
      </c>
      <c r="E557" s="18">
        <f>VLOOKUP(4532,季財報!A:H,5)</f>
        <v>0</v>
      </c>
      <c r="F557" s="18">
        <f>VLOOKUP(4532,季財報!A:H,6)</f>
        <v>1</v>
      </c>
      <c r="G557" s="18">
        <f>VLOOKUP(4532,季財報!A:H,7)</f>
        <v>0</v>
      </c>
      <c r="N557" s="20">
        <f t="shared" si="8"/>
        <v>2</v>
      </c>
    </row>
    <row r="558" spans="1:14">
      <c r="A558" s="307" t="str">
        <f>HYPERLINK("http://www.wantgoo.com/stock/chart.aspx?stockno=2492","2492")</f>
        <v>2492</v>
      </c>
      <c r="C558" s="18">
        <f>VLOOKUP(2492,季財報!A:H,3)</f>
        <v>1</v>
      </c>
      <c r="D558" s="18">
        <f>VLOOKUP(2492,季財報!A:H,4)</f>
        <v>1</v>
      </c>
      <c r="E558" s="18">
        <f>VLOOKUP(2492,季財報!A:H,5)</f>
        <v>0</v>
      </c>
      <c r="F558" s="18">
        <f>VLOOKUP(2492,季財報!A:H,6)</f>
        <v>1</v>
      </c>
      <c r="G558" s="18">
        <f>VLOOKUP(2492,季財報!A:H,7)</f>
        <v>1</v>
      </c>
      <c r="N558" s="20">
        <f t="shared" si="8"/>
        <v>4</v>
      </c>
    </row>
    <row r="559" spans="1:14">
      <c r="A559" s="308" t="str">
        <f>HYPERLINK("http://www.wantgoo.com/stock/chart.aspx?stockno=3323","3323")</f>
        <v>3323</v>
      </c>
      <c r="C559" s="18">
        <f>VLOOKUP(3323,季財報!A:H,3)</f>
        <v>0</v>
      </c>
      <c r="D559" s="18">
        <f>VLOOKUP(3323,季財報!A:H,4)</f>
        <v>1</v>
      </c>
      <c r="E559" s="18">
        <f>VLOOKUP(3323,季財報!A:H,5)</f>
        <v>2</v>
      </c>
      <c r="F559" s="18">
        <f>VLOOKUP(3323,季財報!A:H,6)</f>
        <v>1</v>
      </c>
      <c r="G559" s="18">
        <f>VLOOKUP(3323,季財報!A:H,7)</f>
        <v>0</v>
      </c>
      <c r="N559" s="20">
        <f t="shared" si="8"/>
        <v>4</v>
      </c>
    </row>
    <row r="560" spans="1:14">
      <c r="A560" s="307" t="str">
        <f>HYPERLINK("http://www.wantgoo.com/stock/chart.aspx?stockno=2926","2926")</f>
        <v>2926</v>
      </c>
      <c r="C560" s="18">
        <f>VLOOKUP(2926,季財報!A:H,3)</f>
        <v>0</v>
      </c>
      <c r="D560" s="18">
        <f>VLOOKUP(2926,季財報!A:H,4)</f>
        <v>1</v>
      </c>
      <c r="E560" s="18">
        <f>VLOOKUP(2926,季財報!A:H,5)</f>
        <v>0</v>
      </c>
      <c r="F560" s="18">
        <f>VLOOKUP(2926,季財報!A:H,6)</f>
        <v>1</v>
      </c>
      <c r="G560" s="18">
        <f>VLOOKUP(2926,季財報!A:H,7)</f>
        <v>0</v>
      </c>
      <c r="N560" s="20">
        <f t="shared" si="8"/>
        <v>2</v>
      </c>
    </row>
    <row r="561" spans="1:19">
      <c r="A561" s="308" t="str">
        <f>HYPERLINK("http://www.wantgoo.com/stock/chart.aspx?stockno=6405","6405")</f>
        <v>6405</v>
      </c>
      <c r="C561" s="18">
        <f>VLOOKUP(6405,季財報!A:H,3)</f>
        <v>0</v>
      </c>
      <c r="D561" s="18">
        <f>VLOOKUP(6405,季財報!A:H,4)</f>
        <v>1</v>
      </c>
      <c r="E561" s="18">
        <f>VLOOKUP(6405,季財報!A:H,5)</f>
        <v>1</v>
      </c>
      <c r="F561" s="18">
        <f>VLOOKUP(6405,季財報!A:H,6)</f>
        <v>0</v>
      </c>
      <c r="G561" s="18">
        <f>VLOOKUP(6405,季財報!A:H,7)</f>
        <v>0</v>
      </c>
      <c r="N561" s="20">
        <f t="shared" si="8"/>
        <v>2</v>
      </c>
    </row>
    <row r="562" spans="1:19">
      <c r="A562" s="308" t="str">
        <f>HYPERLINK("http://www.wantgoo.com/stock/chart.aspx?stockno=5520","5520")</f>
        <v>5520</v>
      </c>
      <c r="C562" s="18">
        <f>VLOOKUP(5520,季財報!A:H,3)</f>
        <v>0</v>
      </c>
      <c r="D562" s="18">
        <f>VLOOKUP(5520,季財報!A:H,4)</f>
        <v>1</v>
      </c>
      <c r="E562" s="18">
        <f>VLOOKUP(5520,季財報!A:H,5)</f>
        <v>1</v>
      </c>
      <c r="F562" s="18">
        <f>VLOOKUP(5520,季財報!A:H,6)</f>
        <v>1</v>
      </c>
      <c r="G562" s="18">
        <f>VLOOKUP(5520,季財報!A:H,7)</f>
        <v>0</v>
      </c>
      <c r="N562" s="20">
        <f t="shared" si="8"/>
        <v>3</v>
      </c>
    </row>
    <row r="563" spans="1:19">
      <c r="A563" s="307" t="str">
        <f>HYPERLINK("http://www.wantgoo.com/stock/chart.aspx?stockno=6208","6208")</f>
        <v>6208</v>
      </c>
      <c r="C563" s="18">
        <f>VLOOKUP(6208,季財報!A:H,3)</f>
        <v>0</v>
      </c>
      <c r="D563" s="18">
        <f>VLOOKUP(6208,季財報!A:H,4)</f>
        <v>1</v>
      </c>
      <c r="E563" s="18">
        <f>VLOOKUP(6208,季財報!A:H,5)</f>
        <v>1</v>
      </c>
      <c r="F563" s="18">
        <f>VLOOKUP(6208,季財報!A:H,6)</f>
        <v>1</v>
      </c>
      <c r="G563" s="18">
        <f>VLOOKUP(6208,季財報!A:H,7)</f>
        <v>0</v>
      </c>
      <c r="N563" s="20">
        <f t="shared" si="8"/>
        <v>3</v>
      </c>
    </row>
    <row r="564" spans="1:19">
      <c r="A564" s="307" t="str">
        <f>HYPERLINK("http://www.wantgoo.com/stock/chart.aspx?stockno=6504","6504")</f>
        <v>6504</v>
      </c>
      <c r="C564" s="18">
        <f>VLOOKUP(6504,季財報!A:H,3)</f>
        <v>0</v>
      </c>
      <c r="D564" s="18">
        <f>VLOOKUP(6504,季財報!A:H,4)</f>
        <v>1</v>
      </c>
      <c r="E564" s="18">
        <f>VLOOKUP(6504,季財報!A:H,5)</f>
        <v>0</v>
      </c>
      <c r="F564" s="18">
        <f>VLOOKUP(6504,季財報!A:H,6)</f>
        <v>1</v>
      </c>
      <c r="G564" s="18">
        <f>VLOOKUP(6504,季財報!A:H,7)</f>
        <v>0</v>
      </c>
      <c r="N564" s="20">
        <f t="shared" si="8"/>
        <v>2</v>
      </c>
    </row>
    <row r="565" spans="1:19">
      <c r="A565" s="307" t="str">
        <f>HYPERLINK("http://www.wantgoo.com/stock/chart.aspx?stockno=6197","6197")</f>
        <v>6197</v>
      </c>
      <c r="C565" s="18">
        <f>VLOOKUP(6197,季財報!A:H,3)</f>
        <v>1</v>
      </c>
      <c r="D565" s="18">
        <f>VLOOKUP(6197,季財報!A:H,4)</f>
        <v>1</v>
      </c>
      <c r="E565" s="18">
        <f>VLOOKUP(6197,季財報!A:H,5)</f>
        <v>2</v>
      </c>
      <c r="F565" s="18">
        <f>VLOOKUP(6197,季財報!A:H,6)</f>
        <v>0</v>
      </c>
      <c r="G565" s="18">
        <f>VLOOKUP(6197,季財報!A:H,7)</f>
        <v>1</v>
      </c>
      <c r="N565" s="20">
        <f t="shared" si="8"/>
        <v>5</v>
      </c>
    </row>
    <row r="566" spans="1:19">
      <c r="A566" s="307" t="str">
        <f>HYPERLINK("http://www.wantgoo.com/stock/chart.aspx?stockno=4430","4430")</f>
        <v>4430</v>
      </c>
      <c r="C566" s="18">
        <f>VLOOKUP(4430,季財報!A:H,3)</f>
        <v>0</v>
      </c>
      <c r="D566" s="18">
        <f>VLOOKUP(4430,季財報!A:H,4)</f>
        <v>1</v>
      </c>
      <c r="E566" s="18">
        <f>VLOOKUP(4430,季財報!A:H,5)</f>
        <v>0</v>
      </c>
      <c r="F566" s="18">
        <f>VLOOKUP(4430,季財報!A:H,6)</f>
        <v>1</v>
      </c>
      <c r="G566" s="18">
        <f>VLOOKUP(4430,季財報!A:H,7)</f>
        <v>0</v>
      </c>
      <c r="N566" s="20">
        <f t="shared" si="8"/>
        <v>2</v>
      </c>
    </row>
    <row r="567" spans="1:19">
      <c r="A567" s="308" t="str">
        <f>HYPERLINK("http://www.wantgoo.com/stock/chart.aspx?stockno=4904","4904")</f>
        <v>4904</v>
      </c>
      <c r="C567" s="18">
        <f>VLOOKUP(4904,季財報!A:H,3)</f>
        <v>1</v>
      </c>
      <c r="D567" s="18">
        <f>VLOOKUP(4904,季財報!A:H,4)</f>
        <v>1</v>
      </c>
      <c r="E567" s="18">
        <f>VLOOKUP(4904,季財報!A:H,5)</f>
        <v>0</v>
      </c>
      <c r="F567" s="18">
        <f>VLOOKUP(4904,季財報!A:H,6)</f>
        <v>1</v>
      </c>
      <c r="G567" s="18">
        <f>VLOOKUP(4904,季財報!A:H,7)</f>
        <v>0</v>
      </c>
      <c r="N567" s="20">
        <f t="shared" si="8"/>
        <v>3</v>
      </c>
    </row>
    <row r="568" spans="1:19">
      <c r="A568" s="307" t="str">
        <f>HYPERLINK("http://www.wantgoo.com/stock/chart.aspx?stockno=3004","3004")</f>
        <v>3004</v>
      </c>
      <c r="C568" s="18">
        <f>VLOOKUP(3004,季財報!A:H,3)</f>
        <v>1</v>
      </c>
      <c r="D568" s="18">
        <f>VLOOKUP(3004,季財報!A:H,4)</f>
        <v>1</v>
      </c>
      <c r="E568" s="18">
        <f>VLOOKUP(3004,季財報!A:H,5)</f>
        <v>0</v>
      </c>
      <c r="F568" s="18">
        <f>VLOOKUP(3004,季財報!A:H,6)</f>
        <v>1</v>
      </c>
      <c r="G568" s="18">
        <f>VLOOKUP(3004,季財報!A:H,7)</f>
        <v>1</v>
      </c>
      <c r="N568" s="20">
        <f t="shared" si="8"/>
        <v>4</v>
      </c>
    </row>
    <row r="569" spans="1:19">
      <c r="A569" s="307" t="str">
        <f>HYPERLINK("http://www.wantgoo.com/stock/chart.aspx?stockno=4175","4175")</f>
        <v>4175</v>
      </c>
      <c r="C569" s="18">
        <f>VLOOKUP(4175,季財報!A:H,3)</f>
        <v>0</v>
      </c>
      <c r="D569" s="18">
        <f>VLOOKUP(4175,季財報!A:H,4)</f>
        <v>1</v>
      </c>
      <c r="E569" s="18">
        <f>VLOOKUP(4175,季財報!A:H,5)</f>
        <v>0</v>
      </c>
      <c r="F569" s="18">
        <f>VLOOKUP(4175,季財報!A:H,6)</f>
        <v>0</v>
      </c>
      <c r="G569" s="18">
        <f>VLOOKUP(4175,季財報!A:H,7)</f>
        <v>0</v>
      </c>
      <c r="N569" s="20">
        <f t="shared" si="8"/>
        <v>1</v>
      </c>
    </row>
    <row r="570" spans="1:19" s="317" customFormat="1">
      <c r="A570" s="309" t="str">
        <f>HYPERLINK("http://www.wantgoo.com/stock/chart.aspx?stockno=2458","2458")</f>
        <v>2458</v>
      </c>
      <c r="B570" s="310"/>
      <c r="C570" s="311">
        <f>VLOOKUP(2458,季財報!A:H,3)</f>
        <v>0</v>
      </c>
      <c r="D570" s="311">
        <f>VLOOKUP(2458,季財報!A:H,4)</f>
        <v>1</v>
      </c>
      <c r="E570" s="311">
        <f>VLOOKUP(2458,季財報!A:H,5)</f>
        <v>0</v>
      </c>
      <c r="F570" s="311">
        <f>VLOOKUP(2458,季財報!A:H,6)</f>
        <v>1</v>
      </c>
      <c r="G570" s="311">
        <f>VLOOKUP(2458,季財報!A:H,7)</f>
        <v>0</v>
      </c>
      <c r="H570" s="312"/>
      <c r="I570" s="312"/>
      <c r="J570" s="312"/>
      <c r="K570" s="312"/>
      <c r="L570" s="312"/>
      <c r="M570" s="313"/>
      <c r="N570" s="312">
        <f t="shared" si="8"/>
        <v>2</v>
      </c>
      <c r="O570" s="314"/>
      <c r="P570" s="314"/>
      <c r="Q570" s="314"/>
      <c r="R570" s="314"/>
      <c r="S570" s="315"/>
    </row>
    <row r="571" spans="1:19">
      <c r="A571" s="308" t="str">
        <f>HYPERLINK("http://www.wantgoo.com/stock/chart.aspx?stockno=3062","3062")</f>
        <v>3062</v>
      </c>
      <c r="C571" s="18">
        <f>VLOOKUP(3062,季財報!A:H,3)</f>
        <v>0</v>
      </c>
      <c r="D571" s="18">
        <f>VLOOKUP(3062,季財報!A:H,4)</f>
        <v>1</v>
      </c>
      <c r="E571" s="18">
        <f>VLOOKUP(3062,季財報!A:H,5)</f>
        <v>0</v>
      </c>
      <c r="F571" s="18">
        <f>VLOOKUP(3062,季財報!A:H,6)</f>
        <v>1</v>
      </c>
      <c r="G571" s="18">
        <f>VLOOKUP(3062,季財報!A:H,7)</f>
        <v>0</v>
      </c>
      <c r="N571" s="20">
        <f t="shared" si="8"/>
        <v>2</v>
      </c>
    </row>
    <row r="572" spans="1:19">
      <c r="A572" s="307" t="str">
        <f>HYPERLINK("http://www.wantgoo.com/stock/chart.aspx?stockno=3093","3093")</f>
        <v>3093</v>
      </c>
      <c r="C572" s="18">
        <f>VLOOKUP(3093,季財報!A:H,3)</f>
        <v>0</v>
      </c>
      <c r="D572" s="18">
        <f>VLOOKUP(3093,季財報!A:H,4)</f>
        <v>1</v>
      </c>
      <c r="E572" s="18">
        <f>VLOOKUP(3093,季財報!A:H,5)</f>
        <v>2</v>
      </c>
      <c r="F572" s="18">
        <f>VLOOKUP(3093,季財報!A:H,6)</f>
        <v>1</v>
      </c>
      <c r="G572" s="18">
        <f>VLOOKUP(3093,季財報!A:H,7)</f>
        <v>0</v>
      </c>
      <c r="N572" s="20">
        <f t="shared" si="8"/>
        <v>4</v>
      </c>
    </row>
    <row r="573" spans="1:19">
      <c r="A573" s="307" t="str">
        <f>HYPERLINK("http://www.wantgoo.com/stock/chart.aspx?stockno=3289","3289")</f>
        <v>3289</v>
      </c>
      <c r="C573" s="18">
        <f>VLOOKUP(3289,季財報!A:H,3)</f>
        <v>0</v>
      </c>
      <c r="D573" s="18">
        <f>VLOOKUP(3289,季財報!A:H,4)</f>
        <v>1</v>
      </c>
      <c r="E573" s="18">
        <f>VLOOKUP(3289,季財報!A:H,5)</f>
        <v>1</v>
      </c>
      <c r="F573" s="18">
        <f>VLOOKUP(3289,季財報!A:H,6)</f>
        <v>1</v>
      </c>
      <c r="G573" s="18">
        <f>VLOOKUP(3289,季財報!A:H,7)</f>
        <v>1</v>
      </c>
      <c r="N573" s="20">
        <f t="shared" si="8"/>
        <v>4</v>
      </c>
    </row>
    <row r="574" spans="1:19">
      <c r="A574" s="307" t="str">
        <f>HYPERLINK("http://www.wantgoo.com/stock/chart.aspx?stockno=6239","6239")</f>
        <v>6239</v>
      </c>
      <c r="C574" s="18">
        <f>VLOOKUP(6239,季財報!A:H,3)</f>
        <v>1</v>
      </c>
      <c r="D574" s="18">
        <f>VLOOKUP(6239,季財報!A:H,4)</f>
        <v>1</v>
      </c>
      <c r="E574" s="18">
        <f>VLOOKUP(6239,季財報!A:H,5)</f>
        <v>1</v>
      </c>
      <c r="F574" s="18">
        <f>VLOOKUP(6239,季財報!A:H,6)</f>
        <v>1</v>
      </c>
      <c r="G574" s="18">
        <f>VLOOKUP(6239,季財報!A:H,7)</f>
        <v>0</v>
      </c>
      <c r="N574" s="20">
        <f t="shared" si="8"/>
        <v>4</v>
      </c>
    </row>
    <row r="575" spans="1:19">
      <c r="A575" s="308" t="str">
        <f>HYPERLINK("http://www.wantgoo.com/stock/chart.aspx?stockno=4908","4908")</f>
        <v>4908</v>
      </c>
      <c r="C575" s="18">
        <f>VLOOKUP(4908,季財報!A:H,3)</f>
        <v>0</v>
      </c>
      <c r="D575" s="18">
        <f>VLOOKUP(4908,季財報!A:H,4)</f>
        <v>1</v>
      </c>
      <c r="E575" s="18">
        <f>VLOOKUP(4908,季財報!A:H,5)</f>
        <v>1</v>
      </c>
      <c r="F575" s="18">
        <f>VLOOKUP(4908,季財報!A:H,6)</f>
        <v>1</v>
      </c>
      <c r="G575" s="18">
        <f>VLOOKUP(4908,季財報!A:H,7)</f>
        <v>0</v>
      </c>
      <c r="N575" s="20">
        <f t="shared" si="8"/>
        <v>3</v>
      </c>
    </row>
    <row r="576" spans="1:19">
      <c r="A576" s="307" t="str">
        <f>HYPERLINK("http://www.wantgoo.com/stock/chart.aspx?stockno=1702","1702")</f>
        <v>1702</v>
      </c>
      <c r="C576" s="18">
        <f>VLOOKUP(1702,季財報!A:H,3)</f>
        <v>0</v>
      </c>
      <c r="D576" s="18">
        <f>VLOOKUP(1702,季財報!A:H,4)</f>
        <v>0</v>
      </c>
      <c r="E576" s="18">
        <f>VLOOKUP(1702,季財報!A:H,5)</f>
        <v>1</v>
      </c>
      <c r="F576" s="18">
        <f>VLOOKUP(1702,季財報!A:H,6)</f>
        <v>1</v>
      </c>
      <c r="G576" s="18">
        <f>VLOOKUP(1702,季財報!A:H,7)</f>
        <v>0</v>
      </c>
      <c r="N576" s="20">
        <f t="shared" si="8"/>
        <v>2</v>
      </c>
    </row>
    <row r="577" spans="1:14">
      <c r="A577" s="308" t="str">
        <f>HYPERLINK("http://www.wantgoo.com/stock/chart.aspx?stockno=2360","2360")</f>
        <v>2360</v>
      </c>
      <c r="C577" s="18">
        <f>VLOOKUP(2360,季財報!A:H,3)</f>
        <v>0</v>
      </c>
      <c r="D577" s="18">
        <f>VLOOKUP(2360,季財報!A:H,4)</f>
        <v>1</v>
      </c>
      <c r="E577" s="18">
        <f>VLOOKUP(2360,季財報!A:H,5)</f>
        <v>0</v>
      </c>
      <c r="F577" s="18">
        <f>VLOOKUP(2360,季財報!A:H,6)</f>
        <v>0</v>
      </c>
      <c r="G577" s="18">
        <f>VLOOKUP(2360,季財報!A:H,7)</f>
        <v>0</v>
      </c>
      <c r="N577" s="20">
        <f t="shared" si="8"/>
        <v>1</v>
      </c>
    </row>
    <row r="578" spans="1:14">
      <c r="A578" s="307" t="str">
        <f>HYPERLINK("http://www.wantgoo.com/stock/chart.aspx?stockno=9921","9921")</f>
        <v>9921</v>
      </c>
      <c r="C578" s="18">
        <f>VLOOKUP(9921,季財報!A:H,3)</f>
        <v>1</v>
      </c>
      <c r="D578" s="18">
        <f>VLOOKUP(9921,季財報!A:H,4)</f>
        <v>1</v>
      </c>
      <c r="E578" s="18">
        <f>VLOOKUP(9921,季財報!A:H,5)</f>
        <v>0</v>
      </c>
      <c r="F578" s="18">
        <f>VLOOKUP(9921,季財報!A:H,6)</f>
        <v>1</v>
      </c>
      <c r="G578" s="18">
        <f>VLOOKUP(9921,季財報!A:H,7)</f>
        <v>0</v>
      </c>
      <c r="N578" s="20">
        <f t="shared" si="8"/>
        <v>3</v>
      </c>
    </row>
    <row r="579" spans="1:14">
      <c r="A579" s="308" t="str">
        <f>HYPERLINK("http://www.wantgoo.com/stock/chart.aspx?stockno=2421","2421")</f>
        <v>2421</v>
      </c>
      <c r="C579" s="18">
        <f>VLOOKUP(2421,季財報!A:H,3)</f>
        <v>1</v>
      </c>
      <c r="D579" s="18">
        <f>VLOOKUP(2421,季財報!A:H,4)</f>
        <v>1</v>
      </c>
      <c r="E579" s="18">
        <f>VLOOKUP(2421,季財報!A:H,5)</f>
        <v>1</v>
      </c>
      <c r="F579" s="18">
        <f>VLOOKUP(2421,季財報!A:H,6)</f>
        <v>1</v>
      </c>
      <c r="G579" s="18">
        <f>VLOOKUP(2421,季財報!A:H,7)</f>
        <v>1</v>
      </c>
      <c r="N579" s="20">
        <f t="shared" si="8"/>
        <v>5</v>
      </c>
    </row>
    <row r="580" spans="1:14">
      <c r="A580" s="308" t="str">
        <f>HYPERLINK("http://www.wantgoo.com/stock/chart.aspx?stockno=3529","3529")</f>
        <v>3529</v>
      </c>
      <c r="C580" s="18">
        <f>VLOOKUP(3529,季財報!A:H,3)</f>
        <v>0</v>
      </c>
      <c r="D580" s="18">
        <f>VLOOKUP(3529,季財報!A:H,4)</f>
        <v>0</v>
      </c>
      <c r="E580" s="18">
        <f>VLOOKUP(3529,季財報!A:H,5)</f>
        <v>1</v>
      </c>
      <c r="F580" s="18">
        <f>VLOOKUP(3529,季財報!A:H,6)</f>
        <v>1</v>
      </c>
      <c r="G580" s="18">
        <f>VLOOKUP(3529,季財報!A:H,7)</f>
        <v>0</v>
      </c>
      <c r="N580" s="20">
        <f t="shared" ref="N580:N643" si="9">SUM(C580:M580)</f>
        <v>2</v>
      </c>
    </row>
    <row r="581" spans="1:14">
      <c r="A581" s="308" t="str">
        <f>HYPERLINK("http://www.wantgoo.com/stock/chart.aspx?stockno=8099","8099")</f>
        <v>8099</v>
      </c>
      <c r="C581" s="18">
        <f>VLOOKUP(8099,季財報!A:H,3)</f>
        <v>0</v>
      </c>
      <c r="D581" s="18">
        <f>VLOOKUP(8099,季財報!A:H,4)</f>
        <v>1</v>
      </c>
      <c r="E581" s="18">
        <f>VLOOKUP(8099,季財報!A:H,5)</f>
        <v>0</v>
      </c>
      <c r="F581" s="18">
        <f>VLOOKUP(8099,季財報!A:H,6)</f>
        <v>0</v>
      </c>
      <c r="G581" s="18">
        <f>VLOOKUP(8099,季財報!A:H,7)</f>
        <v>0</v>
      </c>
      <c r="N581" s="20">
        <f t="shared" si="9"/>
        <v>1</v>
      </c>
    </row>
    <row r="582" spans="1:14">
      <c r="A582" s="308" t="str">
        <f>HYPERLINK("http://www.wantgoo.com/stock/chart.aspx?stockno=4971","4971")</f>
        <v>4971</v>
      </c>
      <c r="C582" s="18">
        <f>VLOOKUP(4971,季財報!A:H,3)</f>
        <v>0</v>
      </c>
      <c r="D582" s="18">
        <f>VLOOKUP(4971,季財報!A:H,4)</f>
        <v>0</v>
      </c>
      <c r="E582" s="18">
        <f>VLOOKUP(4971,季財報!A:H,5)</f>
        <v>0</v>
      </c>
      <c r="F582" s="18">
        <f>VLOOKUP(4971,季財報!A:H,6)</f>
        <v>1</v>
      </c>
      <c r="G582" s="18">
        <f>VLOOKUP(4971,季財報!A:H,7)</f>
        <v>0</v>
      </c>
      <c r="N582" s="20">
        <f t="shared" si="9"/>
        <v>1</v>
      </c>
    </row>
    <row r="583" spans="1:14">
      <c r="A583" s="307" t="str">
        <f>HYPERLINK("http://www.wantgoo.com/stock/chart.aspx?stockno=1604","1604")</f>
        <v>1604</v>
      </c>
      <c r="C583" s="18">
        <f>VLOOKUP(1604,季財報!A:H,3)</f>
        <v>0</v>
      </c>
      <c r="D583" s="18">
        <f>VLOOKUP(1604,季財報!A:H,4)</f>
        <v>0</v>
      </c>
      <c r="E583" s="18">
        <f>VLOOKUP(1604,季財報!A:H,5)</f>
        <v>0</v>
      </c>
      <c r="F583" s="18">
        <f>VLOOKUP(1604,季財報!A:H,6)</f>
        <v>1</v>
      </c>
      <c r="G583" s="18">
        <f>VLOOKUP(1604,季財報!A:H,7)</f>
        <v>0</v>
      </c>
      <c r="N583" s="20">
        <f t="shared" si="9"/>
        <v>1</v>
      </c>
    </row>
    <row r="584" spans="1:14">
      <c r="A584" s="308" t="str">
        <f>HYPERLINK("http://www.wantgoo.com/stock/chart.aspx?stockno=3338","3338")</f>
        <v>3338</v>
      </c>
      <c r="C584" s="18">
        <f>VLOOKUP(3338,季財報!A:H,3)</f>
        <v>1</v>
      </c>
      <c r="D584" s="18">
        <f>VLOOKUP(3338,季財報!A:H,4)</f>
        <v>1</v>
      </c>
      <c r="E584" s="18">
        <f>VLOOKUP(3338,季財報!A:H,5)</f>
        <v>2</v>
      </c>
      <c r="F584" s="18">
        <f>VLOOKUP(3338,季財報!A:H,6)</f>
        <v>1</v>
      </c>
      <c r="G584" s="18">
        <f>VLOOKUP(3338,季財報!A:H,7)</f>
        <v>0</v>
      </c>
      <c r="N584" s="20">
        <f t="shared" si="9"/>
        <v>5</v>
      </c>
    </row>
    <row r="585" spans="1:14">
      <c r="A585" s="308" t="str">
        <f>HYPERLINK("http://www.wantgoo.com/stock/chart.aspx?stockno=6290","6290")</f>
        <v>6290</v>
      </c>
      <c r="C585" s="18">
        <f>VLOOKUP(6290,季財報!A:H,3)</f>
        <v>0</v>
      </c>
      <c r="D585" s="18">
        <f>VLOOKUP(6290,季財報!A:H,4)</f>
        <v>1</v>
      </c>
      <c r="E585" s="18">
        <f>VLOOKUP(6290,季財報!A:H,5)</f>
        <v>0</v>
      </c>
      <c r="F585" s="18">
        <f>VLOOKUP(6290,季財報!A:H,6)</f>
        <v>0</v>
      </c>
      <c r="G585" s="18">
        <f>VLOOKUP(6290,季財報!A:H,7)</f>
        <v>0</v>
      </c>
      <c r="N585" s="20">
        <f t="shared" si="9"/>
        <v>1</v>
      </c>
    </row>
    <row r="586" spans="1:14">
      <c r="A586" s="307" t="str">
        <f>HYPERLINK("http://www.wantgoo.com/stock/chart.aspx?stockno=3026","3026")</f>
        <v>3026</v>
      </c>
      <c r="C586" s="18">
        <f>VLOOKUP(3026,季財報!A:H,3)</f>
        <v>0</v>
      </c>
      <c r="D586" s="18">
        <f>VLOOKUP(3026,季財報!A:H,4)</f>
        <v>0</v>
      </c>
      <c r="E586" s="18">
        <f>VLOOKUP(3026,季財報!A:H,5)</f>
        <v>0</v>
      </c>
      <c r="F586" s="18">
        <f>VLOOKUP(3026,季財報!A:H,6)</f>
        <v>0</v>
      </c>
      <c r="G586" s="18">
        <f>VLOOKUP(3026,季財報!A:H,7)</f>
        <v>0</v>
      </c>
      <c r="N586" s="20">
        <f t="shared" si="9"/>
        <v>0</v>
      </c>
    </row>
    <row r="587" spans="1:14">
      <c r="A587" s="307" t="str">
        <f>HYPERLINK("http://www.wantgoo.com/stock/chart.aspx?stockno=2308","2308")</f>
        <v>2308</v>
      </c>
      <c r="C587" s="18">
        <f>VLOOKUP(2308,季財報!A:H,3)</f>
        <v>1</v>
      </c>
      <c r="D587" s="18">
        <f>VLOOKUP(2308,季財報!A:H,4)</f>
        <v>1</v>
      </c>
      <c r="E587" s="18">
        <f>VLOOKUP(2308,季財報!A:H,5)</f>
        <v>0</v>
      </c>
      <c r="F587" s="18">
        <f>VLOOKUP(2308,季財報!A:H,6)</f>
        <v>1</v>
      </c>
      <c r="G587" s="18">
        <f>VLOOKUP(2308,季財報!A:H,7)</f>
        <v>1</v>
      </c>
      <c r="N587" s="20">
        <f t="shared" si="9"/>
        <v>4</v>
      </c>
    </row>
    <row r="588" spans="1:14">
      <c r="A588" s="307" t="str">
        <f>HYPERLINK("http://www.wantgoo.com/stock/chart.aspx?stockno=2495","2495")</f>
        <v>2495</v>
      </c>
      <c r="C588" s="18">
        <f>VLOOKUP(2495,季財報!A:H,3)</f>
        <v>1</v>
      </c>
      <c r="D588" s="18">
        <f>VLOOKUP(2495,季財報!A:H,4)</f>
        <v>1</v>
      </c>
      <c r="E588" s="18">
        <f>VLOOKUP(2495,季財報!A:H,5)</f>
        <v>0</v>
      </c>
      <c r="F588" s="18">
        <f>VLOOKUP(2495,季財報!A:H,6)</f>
        <v>1</v>
      </c>
      <c r="G588" s="18">
        <f>VLOOKUP(2495,季財報!A:H,7)</f>
        <v>0</v>
      </c>
      <c r="N588" s="20">
        <f t="shared" si="9"/>
        <v>3</v>
      </c>
    </row>
    <row r="589" spans="1:14">
      <c r="A589" s="307" t="str">
        <f>HYPERLINK("http://www.wantgoo.com/stock/chart.aspx?stockno=6111","6111")</f>
        <v>6111</v>
      </c>
      <c r="C589" s="18">
        <f>VLOOKUP(6111,季財報!A:H,3)</f>
        <v>1</v>
      </c>
      <c r="D589" s="18">
        <f>VLOOKUP(6111,季財報!A:H,4)</f>
        <v>1</v>
      </c>
      <c r="E589" s="18">
        <f>VLOOKUP(6111,季財報!A:H,5)</f>
        <v>1</v>
      </c>
      <c r="F589" s="18">
        <f>VLOOKUP(6111,季財報!A:H,6)</f>
        <v>0</v>
      </c>
      <c r="G589" s="18">
        <f>VLOOKUP(6111,季財報!A:H,7)</f>
        <v>1</v>
      </c>
      <c r="N589" s="20">
        <f t="shared" si="9"/>
        <v>4</v>
      </c>
    </row>
    <row r="590" spans="1:14">
      <c r="A590" s="307" t="str">
        <f>HYPERLINK("http://www.wantgoo.com/stock/chart.aspx?stockno=1590","1590")</f>
        <v>1590</v>
      </c>
      <c r="C590" s="18">
        <f>VLOOKUP(1590,季財報!A:H,3)</f>
        <v>0</v>
      </c>
      <c r="D590" s="18">
        <f>VLOOKUP(1590,季財報!A:H,4)</f>
        <v>0</v>
      </c>
      <c r="E590" s="18">
        <f>VLOOKUP(1590,季財報!A:H,5)</f>
        <v>0</v>
      </c>
      <c r="F590" s="18">
        <f>VLOOKUP(1590,季財報!A:H,6)</f>
        <v>1</v>
      </c>
      <c r="G590" s="18">
        <f>VLOOKUP(1590,季財報!A:H,7)</f>
        <v>0</v>
      </c>
      <c r="N590" s="20">
        <f t="shared" si="9"/>
        <v>1</v>
      </c>
    </row>
    <row r="591" spans="1:14">
      <c r="A591" s="308" t="str">
        <f>HYPERLINK("http://www.wantgoo.com/stock/chart.aspx?stockno=3373","3373")</f>
        <v>3373</v>
      </c>
      <c r="C591" s="18">
        <f>VLOOKUP(3373,季財報!A:H,3)</f>
        <v>1</v>
      </c>
      <c r="D591" s="18">
        <f>VLOOKUP(3373,季財報!A:H,4)</f>
        <v>1</v>
      </c>
      <c r="E591" s="18">
        <f>VLOOKUP(3373,季財報!A:H,5)</f>
        <v>0</v>
      </c>
      <c r="F591" s="18">
        <f>VLOOKUP(3373,季財報!A:H,6)</f>
        <v>1</v>
      </c>
      <c r="G591" s="18">
        <f>VLOOKUP(3373,季財報!A:H,7)</f>
        <v>1</v>
      </c>
      <c r="N591" s="20">
        <f t="shared" si="9"/>
        <v>4</v>
      </c>
    </row>
    <row r="592" spans="1:14">
      <c r="A592" s="308" t="str">
        <f>HYPERLINK("http://www.wantgoo.com/stock/chart.aspx?stockno=1717","1717")</f>
        <v>1717</v>
      </c>
      <c r="C592" s="18">
        <f>VLOOKUP(1717,季財報!A:H,3)</f>
        <v>1</v>
      </c>
      <c r="D592" s="18">
        <f>VLOOKUP(1717,季財報!A:H,4)</f>
        <v>1</v>
      </c>
      <c r="E592" s="18">
        <f>VLOOKUP(1717,季財報!A:H,5)</f>
        <v>0</v>
      </c>
      <c r="F592" s="18">
        <f>VLOOKUP(1717,季財報!A:H,6)</f>
        <v>1</v>
      </c>
      <c r="G592" s="18">
        <f>VLOOKUP(1717,季財報!A:H,7)</f>
        <v>0</v>
      </c>
      <c r="N592" s="20">
        <f t="shared" si="9"/>
        <v>3</v>
      </c>
    </row>
    <row r="593" spans="1:14">
      <c r="A593" s="307" t="str">
        <f>HYPERLINK("http://www.wantgoo.com/stock/chart.aspx?stockno=2906","2906")</f>
        <v>2906</v>
      </c>
      <c r="C593" s="18">
        <f>VLOOKUP(2906,季財報!A:H,3)</f>
        <v>0</v>
      </c>
      <c r="D593" s="18">
        <f>VLOOKUP(2906,季財報!A:H,4)</f>
        <v>0</v>
      </c>
      <c r="E593" s="18">
        <f>VLOOKUP(2906,季財報!A:H,5)</f>
        <v>2</v>
      </c>
      <c r="F593" s="18">
        <f>VLOOKUP(2906,季財報!A:H,6)</f>
        <v>0</v>
      </c>
      <c r="G593" s="18">
        <f>VLOOKUP(2906,季財報!A:H,7)</f>
        <v>0</v>
      </c>
      <c r="N593" s="20">
        <f t="shared" si="9"/>
        <v>2</v>
      </c>
    </row>
    <row r="594" spans="1:14">
      <c r="A594" s="307" t="str">
        <f>HYPERLINK("http://www.wantgoo.com/stock/chart.aspx?stockno=8936","8936")</f>
        <v>8936</v>
      </c>
      <c r="C594" s="18">
        <f>VLOOKUP(8936,季財報!A:H,3)</f>
        <v>0</v>
      </c>
      <c r="D594" s="18">
        <f>VLOOKUP(8936,季財報!A:H,4)</f>
        <v>1</v>
      </c>
      <c r="E594" s="18">
        <f>VLOOKUP(8936,季財報!A:H,5)</f>
        <v>0</v>
      </c>
      <c r="F594" s="18">
        <f>VLOOKUP(8936,季財報!A:H,6)</f>
        <v>0</v>
      </c>
      <c r="G594" s="18">
        <f>VLOOKUP(8936,季財報!A:H,7)</f>
        <v>0</v>
      </c>
      <c r="N594" s="20">
        <f t="shared" si="9"/>
        <v>1</v>
      </c>
    </row>
    <row r="595" spans="1:14">
      <c r="A595" s="308" t="str">
        <f>HYPERLINK("http://www.wantgoo.com/stock/chart.aspx?stockno=3444","3444")</f>
        <v>3444</v>
      </c>
      <c r="C595" s="18">
        <f>VLOOKUP(3444,季財報!A:H,3)</f>
        <v>0</v>
      </c>
      <c r="D595" s="18">
        <f>VLOOKUP(3444,季財報!A:H,4)</f>
        <v>1</v>
      </c>
      <c r="E595" s="18">
        <f>VLOOKUP(3444,季財報!A:H,5)</f>
        <v>0</v>
      </c>
      <c r="F595" s="18">
        <f>VLOOKUP(3444,季財報!A:H,6)</f>
        <v>0</v>
      </c>
      <c r="G595" s="18">
        <f>VLOOKUP(3444,季財報!A:H,7)</f>
        <v>0</v>
      </c>
      <c r="N595" s="20">
        <f t="shared" si="9"/>
        <v>1</v>
      </c>
    </row>
    <row r="596" spans="1:14">
      <c r="A596" s="308" t="str">
        <f>HYPERLINK("http://www.wantgoo.com/stock/chart.aspx?stockno=1593","1593")</f>
        <v>1593</v>
      </c>
      <c r="C596" s="18">
        <f>VLOOKUP(1593,季財報!A:H,3)</f>
        <v>1</v>
      </c>
      <c r="D596" s="18">
        <f>VLOOKUP(1593,季財報!A:H,4)</f>
        <v>1</v>
      </c>
      <c r="E596" s="18">
        <f>VLOOKUP(1593,季財報!A:H,5)</f>
        <v>0</v>
      </c>
      <c r="F596" s="18">
        <f>VLOOKUP(1593,季財報!A:H,6)</f>
        <v>1</v>
      </c>
      <c r="G596" s="18">
        <f>VLOOKUP(1593,季財報!A:H,7)</f>
        <v>0</v>
      </c>
      <c r="N596" s="20">
        <f t="shared" si="9"/>
        <v>3</v>
      </c>
    </row>
    <row r="597" spans="1:14">
      <c r="A597" s="308" t="str">
        <f>HYPERLINK("http://www.wantgoo.com/stock/chart.aspx?stockno=6183","6183")</f>
        <v>6183</v>
      </c>
      <c r="C597" s="18">
        <f>VLOOKUP(6183,季財報!A:H,3)</f>
        <v>0</v>
      </c>
      <c r="D597" s="18">
        <f>VLOOKUP(6183,季財報!A:H,4)</f>
        <v>1</v>
      </c>
      <c r="E597" s="18">
        <f>VLOOKUP(6183,季財報!A:H,5)</f>
        <v>0</v>
      </c>
      <c r="F597" s="18">
        <f>VLOOKUP(6183,季財報!A:H,6)</f>
        <v>0</v>
      </c>
      <c r="G597" s="18">
        <f>VLOOKUP(6183,季財報!A:H,7)</f>
        <v>0</v>
      </c>
      <c r="N597" s="20">
        <f t="shared" si="9"/>
        <v>1</v>
      </c>
    </row>
    <row r="598" spans="1:14">
      <c r="A598" s="307" t="str">
        <f>HYPERLINK("http://www.wantgoo.com/stock/chart.aspx?stockno=2642","2642")</f>
        <v>2642</v>
      </c>
      <c r="C598" s="18">
        <f>VLOOKUP(2642,季財報!A:H,3)</f>
        <v>0</v>
      </c>
      <c r="D598" s="18">
        <f>VLOOKUP(2642,季財報!A:H,4)</f>
        <v>0</v>
      </c>
      <c r="E598" s="18">
        <f>VLOOKUP(2642,季財報!A:H,5)</f>
        <v>2</v>
      </c>
      <c r="F598" s="18">
        <f>VLOOKUP(2642,季財報!A:H,6)</f>
        <v>1</v>
      </c>
      <c r="G598" s="18">
        <f>VLOOKUP(2642,季財報!A:H,7)</f>
        <v>0</v>
      </c>
      <c r="N598" s="20">
        <f t="shared" si="9"/>
        <v>3</v>
      </c>
    </row>
    <row r="599" spans="1:14">
      <c r="A599" s="308" t="str">
        <f>HYPERLINK("http://www.wantgoo.com/stock/chart.aspx?stockno=5457","5457")</f>
        <v>5457</v>
      </c>
      <c r="C599" s="18">
        <f>VLOOKUP(5457,季財報!A:H,3)</f>
        <v>0</v>
      </c>
      <c r="D599" s="18">
        <f>VLOOKUP(5457,季財報!A:H,4)</f>
        <v>0</v>
      </c>
      <c r="E599" s="18">
        <f>VLOOKUP(5457,季財報!A:H,5)</f>
        <v>0</v>
      </c>
      <c r="F599" s="18">
        <f>VLOOKUP(5457,季財報!A:H,6)</f>
        <v>0</v>
      </c>
      <c r="G599" s="18">
        <f>VLOOKUP(5457,季財報!A:H,7)</f>
        <v>0</v>
      </c>
      <c r="N599" s="20">
        <f t="shared" si="9"/>
        <v>0</v>
      </c>
    </row>
    <row r="600" spans="1:14">
      <c r="A600" s="308" t="str">
        <f>HYPERLINK("http://www.wantgoo.com/stock/chart.aspx?stockno=1536","1536")</f>
        <v>1536</v>
      </c>
      <c r="C600" s="18">
        <f>VLOOKUP(1536,季財報!A:H,3)</f>
        <v>1</v>
      </c>
      <c r="D600" s="18">
        <f>VLOOKUP(1536,季財報!A:H,4)</f>
        <v>1</v>
      </c>
      <c r="E600" s="18">
        <f>VLOOKUP(1536,季財報!A:H,5)</f>
        <v>0</v>
      </c>
      <c r="F600" s="18">
        <f>VLOOKUP(1536,季財報!A:H,6)</f>
        <v>1</v>
      </c>
      <c r="G600" s="18">
        <f>VLOOKUP(1536,季財報!A:H,7)</f>
        <v>1</v>
      </c>
      <c r="N600" s="20">
        <f t="shared" si="9"/>
        <v>4</v>
      </c>
    </row>
    <row r="601" spans="1:14">
      <c r="A601" s="308" t="str">
        <f>HYPERLINK("http://www.wantgoo.com/stock/chart.aspx?stockno=2063","2063")</f>
        <v>2063</v>
      </c>
      <c r="C601" s="18">
        <f>VLOOKUP(2063,季財報!A:H,3)</f>
        <v>0</v>
      </c>
      <c r="D601" s="18">
        <f>VLOOKUP(2063,季財報!A:H,4)</f>
        <v>1</v>
      </c>
      <c r="E601" s="18">
        <f>VLOOKUP(2063,季財報!A:H,5)</f>
        <v>0</v>
      </c>
      <c r="F601" s="18">
        <f>VLOOKUP(2063,季財報!A:H,6)</f>
        <v>1</v>
      </c>
      <c r="G601" s="18">
        <f>VLOOKUP(2063,季財報!A:H,7)</f>
        <v>0</v>
      </c>
      <c r="N601" s="20">
        <f t="shared" si="9"/>
        <v>2</v>
      </c>
    </row>
    <row r="602" spans="1:14">
      <c r="A602" s="307" t="str">
        <f>HYPERLINK("http://www.wantgoo.com/stock/chart.aspx?stockno=2374","2374")</f>
        <v>2374</v>
      </c>
      <c r="C602" s="18">
        <f>VLOOKUP(2374,季財報!A:H,3)</f>
        <v>1</v>
      </c>
      <c r="D602" s="18">
        <f>VLOOKUP(2374,季財報!A:H,4)</f>
        <v>1</v>
      </c>
      <c r="E602" s="18">
        <f>VLOOKUP(2374,季財報!A:H,5)</f>
        <v>0</v>
      </c>
      <c r="F602" s="18">
        <f>VLOOKUP(2374,季財報!A:H,6)</f>
        <v>0</v>
      </c>
      <c r="G602" s="18">
        <f>VLOOKUP(2374,季財報!A:H,7)</f>
        <v>0</v>
      </c>
      <c r="N602" s="20">
        <f t="shared" si="9"/>
        <v>2</v>
      </c>
    </row>
    <row r="603" spans="1:14">
      <c r="A603" s="307" t="str">
        <f>HYPERLINK("http://www.wantgoo.com/stock/chart.aspx?stockno=4107","4107")</f>
        <v>4107</v>
      </c>
      <c r="C603" s="18">
        <f>VLOOKUP(4107,季財報!A:H,3)</f>
        <v>1</v>
      </c>
      <c r="D603" s="18">
        <f>VLOOKUP(4107,季財報!A:H,4)</f>
        <v>1</v>
      </c>
      <c r="E603" s="18">
        <f>VLOOKUP(4107,季財報!A:H,5)</f>
        <v>0</v>
      </c>
      <c r="F603" s="18">
        <f>VLOOKUP(4107,季財報!A:H,6)</f>
        <v>1</v>
      </c>
      <c r="G603" s="18">
        <f>VLOOKUP(4107,季財報!A:H,7)</f>
        <v>0</v>
      </c>
      <c r="N603" s="20">
        <f t="shared" si="9"/>
        <v>3</v>
      </c>
    </row>
    <row r="604" spans="1:14">
      <c r="A604" s="307" t="str">
        <f>HYPERLINK("http://www.wantgoo.com/stock/chart.aspx?stockno=3624","3624")</f>
        <v>3624</v>
      </c>
      <c r="C604" s="18">
        <f>VLOOKUP(3624,季財報!A:H,3)</f>
        <v>1</v>
      </c>
      <c r="D604" s="18">
        <f>VLOOKUP(3624,季財報!A:H,4)</f>
        <v>1</v>
      </c>
      <c r="E604" s="18">
        <f>VLOOKUP(3624,季財報!A:H,5)</f>
        <v>0</v>
      </c>
      <c r="F604" s="18">
        <f>VLOOKUP(3624,季財報!A:H,6)</f>
        <v>1</v>
      </c>
      <c r="G604" s="18">
        <f>VLOOKUP(3624,季財報!A:H,7)</f>
        <v>0</v>
      </c>
      <c r="N604" s="20">
        <f t="shared" si="9"/>
        <v>3</v>
      </c>
    </row>
    <row r="605" spans="1:14">
      <c r="A605" s="307" t="str">
        <f>HYPERLINK("http://www.wantgoo.com/stock/chart.aspx?stockno=2345","2345")</f>
        <v>2345</v>
      </c>
      <c r="C605" s="18">
        <f>VLOOKUP(2345,季財報!A:H,3)</f>
        <v>1</v>
      </c>
      <c r="D605" s="18">
        <f>VLOOKUP(2345,季財報!A:H,4)</f>
        <v>1</v>
      </c>
      <c r="E605" s="18">
        <f>VLOOKUP(2345,季財報!A:H,5)</f>
        <v>1</v>
      </c>
      <c r="F605" s="18">
        <f>VLOOKUP(2345,季財報!A:H,6)</f>
        <v>1</v>
      </c>
      <c r="G605" s="18">
        <f>VLOOKUP(2345,季財報!A:H,7)</f>
        <v>0</v>
      </c>
      <c r="N605" s="20">
        <f t="shared" si="9"/>
        <v>4</v>
      </c>
    </row>
    <row r="606" spans="1:14">
      <c r="A606" s="307" t="str">
        <f>HYPERLINK("http://www.wantgoo.com/stock/chart.aspx?stockno=1592","1592")</f>
        <v>1592</v>
      </c>
      <c r="C606" s="18">
        <f>VLOOKUP(1592,季財報!A:H,3)</f>
        <v>1</v>
      </c>
      <c r="D606" s="18">
        <f>VLOOKUP(1592,季財報!A:H,4)</f>
        <v>1</v>
      </c>
      <c r="E606" s="18">
        <f>VLOOKUP(1592,季財報!A:H,5)</f>
        <v>0</v>
      </c>
      <c r="F606" s="18">
        <f>VLOOKUP(1592,季財報!A:H,6)</f>
        <v>1</v>
      </c>
      <c r="G606" s="18">
        <f>VLOOKUP(1592,季財報!A:H,7)</f>
        <v>0</v>
      </c>
      <c r="N606" s="20">
        <f t="shared" si="9"/>
        <v>3</v>
      </c>
    </row>
    <row r="607" spans="1:14">
      <c r="A607" s="307" t="str">
        <f>HYPERLINK("http://www.wantgoo.com/stock/chart.aspx?stockno=6184","6184")</f>
        <v>6184</v>
      </c>
      <c r="C607" s="18">
        <f>VLOOKUP(6184,季財報!A:H,3)</f>
        <v>0</v>
      </c>
      <c r="D607" s="18">
        <f>VLOOKUP(6184,季財報!A:H,4)</f>
        <v>0</v>
      </c>
      <c r="E607" s="18">
        <f>VLOOKUP(6184,季財報!A:H,5)</f>
        <v>0</v>
      </c>
      <c r="F607" s="18">
        <f>VLOOKUP(6184,季財報!A:H,6)</f>
        <v>0</v>
      </c>
      <c r="G607" s="18">
        <f>VLOOKUP(6184,季財報!A:H,7)</f>
        <v>1</v>
      </c>
      <c r="N607" s="20">
        <f t="shared" si="9"/>
        <v>1</v>
      </c>
    </row>
    <row r="608" spans="1:14">
      <c r="A608" s="308" t="str">
        <f>HYPERLINK("http://www.wantgoo.com/stock/chart.aspx?stockno=3141","3141")</f>
        <v>3141</v>
      </c>
      <c r="C608" s="18">
        <f>VLOOKUP(3141,季財報!A:H,3)</f>
        <v>0</v>
      </c>
      <c r="D608" s="18">
        <f>VLOOKUP(3141,季財報!A:H,4)</f>
        <v>1</v>
      </c>
      <c r="E608" s="18">
        <f>VLOOKUP(3141,季財報!A:H,5)</f>
        <v>0</v>
      </c>
      <c r="F608" s="18">
        <f>VLOOKUP(3141,季財報!A:H,6)</f>
        <v>1</v>
      </c>
      <c r="G608" s="18">
        <f>VLOOKUP(3141,季財報!A:H,7)</f>
        <v>0</v>
      </c>
      <c r="N608" s="20">
        <f t="shared" si="9"/>
        <v>2</v>
      </c>
    </row>
    <row r="609" spans="1:14">
      <c r="A609" s="308" t="str">
        <f>HYPERLINK("http://www.wantgoo.com/stock/chart.aspx?stockno=2616","2616")</f>
        <v>2616</v>
      </c>
      <c r="C609" s="18">
        <f>VLOOKUP(2616,季財報!A:H,3)</f>
        <v>0</v>
      </c>
      <c r="D609" s="18">
        <f>VLOOKUP(2616,季財報!A:H,4)</f>
        <v>1</v>
      </c>
      <c r="E609" s="18">
        <f>VLOOKUP(2616,季財報!A:H,5)</f>
        <v>1</v>
      </c>
      <c r="F609" s="18">
        <f>VLOOKUP(2616,季財報!A:H,6)</f>
        <v>1</v>
      </c>
      <c r="G609" s="18">
        <f>VLOOKUP(2616,季財報!A:H,7)</f>
        <v>0</v>
      </c>
      <c r="N609" s="20">
        <f t="shared" si="9"/>
        <v>3</v>
      </c>
    </row>
    <row r="610" spans="1:14">
      <c r="A610" s="308" t="str">
        <f>HYPERLINK("http://www.wantgoo.com/stock/chart.aspx?stockno=6166","6166")</f>
        <v>6166</v>
      </c>
      <c r="C610" s="18">
        <f>VLOOKUP(6166,季財報!A:H,3)</f>
        <v>0</v>
      </c>
      <c r="D610" s="18">
        <f>VLOOKUP(6166,季財報!A:H,4)</f>
        <v>0</v>
      </c>
      <c r="E610" s="18">
        <f>VLOOKUP(6166,季財報!A:H,5)</f>
        <v>0</v>
      </c>
      <c r="F610" s="18">
        <f>VLOOKUP(6166,季財報!A:H,6)</f>
        <v>1</v>
      </c>
      <c r="G610" s="18">
        <f>VLOOKUP(6166,季財報!A:H,7)</f>
        <v>1</v>
      </c>
      <c r="N610" s="20">
        <f t="shared" si="9"/>
        <v>2</v>
      </c>
    </row>
    <row r="611" spans="1:14">
      <c r="A611" s="307" t="str">
        <f>HYPERLINK("http://www.wantgoo.com/stock/chart.aspx?stockno=2414","2414")</f>
        <v>2414</v>
      </c>
      <c r="C611" s="18">
        <f>VLOOKUP(2414,季財報!A:H,3)</f>
        <v>0</v>
      </c>
      <c r="D611" s="18">
        <f>VLOOKUP(2414,季財報!A:H,4)</f>
        <v>1</v>
      </c>
      <c r="E611" s="18">
        <f>VLOOKUP(2414,季財報!A:H,5)</f>
        <v>0</v>
      </c>
      <c r="F611" s="18">
        <f>VLOOKUP(2414,季財報!A:H,6)</f>
        <v>0</v>
      </c>
      <c r="G611" s="18">
        <f>VLOOKUP(2414,季財報!A:H,7)</f>
        <v>0</v>
      </c>
      <c r="N611" s="20">
        <f t="shared" si="9"/>
        <v>1</v>
      </c>
    </row>
    <row r="612" spans="1:14">
      <c r="A612" s="308" t="str">
        <f>HYPERLINK("http://www.wantgoo.com/stock/chart.aspx?stockno=1701","1701")</f>
        <v>1701</v>
      </c>
      <c r="C612" s="18">
        <f>VLOOKUP(1701,季財報!A:H,3)</f>
        <v>0</v>
      </c>
      <c r="D612" s="18">
        <f>VLOOKUP(1701,季財報!A:H,4)</f>
        <v>1</v>
      </c>
      <c r="E612" s="18">
        <f>VLOOKUP(1701,季財報!A:H,5)</f>
        <v>1</v>
      </c>
      <c r="F612" s="18">
        <f>VLOOKUP(1701,季財報!A:H,6)</f>
        <v>1</v>
      </c>
      <c r="G612" s="18">
        <f>VLOOKUP(1701,季財報!A:H,7)</f>
        <v>0</v>
      </c>
      <c r="N612" s="20">
        <f t="shared" si="9"/>
        <v>3</v>
      </c>
    </row>
    <row r="613" spans="1:14">
      <c r="A613" s="308" t="str">
        <f>HYPERLINK("http://www.wantgoo.com/stock/chart.aspx?stockno=9933","9933")</f>
        <v>9933</v>
      </c>
      <c r="C613" s="18">
        <f>VLOOKUP(9933,季財報!A:H,3)</f>
        <v>0</v>
      </c>
      <c r="D613" s="18">
        <f>VLOOKUP(9933,季財報!A:H,4)</f>
        <v>0</v>
      </c>
      <c r="E613" s="18">
        <f>VLOOKUP(9933,季財報!A:H,5)</f>
        <v>1</v>
      </c>
      <c r="F613" s="18">
        <f>VLOOKUP(9933,季財報!A:H,6)</f>
        <v>0</v>
      </c>
      <c r="G613" s="18">
        <f>VLOOKUP(9933,季財報!A:H,7)</f>
        <v>0</v>
      </c>
      <c r="N613" s="20">
        <f t="shared" si="9"/>
        <v>1</v>
      </c>
    </row>
    <row r="614" spans="1:14">
      <c r="A614" s="307" t="str">
        <f>HYPERLINK("http://www.wantgoo.com/stock/chart.aspx?stockno=2912","2912")</f>
        <v>2912</v>
      </c>
      <c r="C614" s="18">
        <f>VLOOKUP(2912,季財報!A:H,3)</f>
        <v>0</v>
      </c>
      <c r="D614" s="18">
        <f>VLOOKUP(2912,季財報!A:H,4)</f>
        <v>1</v>
      </c>
      <c r="E614" s="18">
        <f>VLOOKUP(2912,季財報!A:H,5)</f>
        <v>0</v>
      </c>
      <c r="F614" s="18">
        <f>VLOOKUP(2912,季財報!A:H,6)</f>
        <v>1</v>
      </c>
      <c r="G614" s="18">
        <f>VLOOKUP(2912,季財報!A:H,7)</f>
        <v>0</v>
      </c>
      <c r="N614" s="20">
        <f t="shared" si="9"/>
        <v>2</v>
      </c>
    </row>
    <row r="615" spans="1:14">
      <c r="A615" s="307" t="str">
        <f>HYPERLINK("http://www.wantgoo.com/stock/chart.aspx?stockno=5272","5272")</f>
        <v>5272</v>
      </c>
      <c r="C615" s="18">
        <f>VLOOKUP(5272,季財報!A:H,3)</f>
        <v>0</v>
      </c>
      <c r="D615" s="18">
        <f>VLOOKUP(5272,季財報!A:H,4)</f>
        <v>0</v>
      </c>
      <c r="E615" s="18">
        <f>VLOOKUP(5272,季財報!A:H,5)</f>
        <v>0</v>
      </c>
      <c r="F615" s="18">
        <f>VLOOKUP(5272,季財報!A:H,6)</f>
        <v>1</v>
      </c>
      <c r="G615" s="18">
        <f>VLOOKUP(5272,季財報!A:H,7)</f>
        <v>0</v>
      </c>
      <c r="N615" s="20">
        <f t="shared" si="9"/>
        <v>1</v>
      </c>
    </row>
    <row r="616" spans="1:14">
      <c r="A616" s="307" t="str">
        <f>HYPERLINK("http://www.wantgoo.com/stock/chart.aspx?stockno=1465","1465")</f>
        <v>1465</v>
      </c>
      <c r="C616" s="18">
        <f>VLOOKUP(1465,季財報!A:H,3)</f>
        <v>1</v>
      </c>
      <c r="D616" s="18">
        <f>VLOOKUP(1465,季財報!A:H,4)</f>
        <v>1</v>
      </c>
      <c r="E616" s="18">
        <f>VLOOKUP(1465,季財報!A:H,5)</f>
        <v>1</v>
      </c>
      <c r="F616" s="18">
        <f>VLOOKUP(1465,季財報!A:H,6)</f>
        <v>0</v>
      </c>
      <c r="G616" s="18">
        <f>VLOOKUP(1465,季財報!A:H,7)</f>
        <v>0</v>
      </c>
      <c r="N616" s="20">
        <f t="shared" si="9"/>
        <v>3</v>
      </c>
    </row>
    <row r="617" spans="1:14">
      <c r="A617" s="307" t="str">
        <f>HYPERLINK("http://www.wantgoo.com/stock/chart.aspx?stockno=6154","6154")</f>
        <v>6154</v>
      </c>
      <c r="C617" s="18">
        <f>VLOOKUP(6154,季財報!A:H,3)</f>
        <v>0</v>
      </c>
      <c r="D617" s="18">
        <f>VLOOKUP(6154,季財報!A:H,4)</f>
        <v>1</v>
      </c>
      <c r="E617" s="18">
        <f>VLOOKUP(6154,季財報!A:H,5)</f>
        <v>0</v>
      </c>
      <c r="F617" s="18">
        <f>VLOOKUP(6154,季財報!A:H,6)</f>
        <v>1</v>
      </c>
      <c r="G617" s="18">
        <f>VLOOKUP(6154,季財報!A:H,7)</f>
        <v>0</v>
      </c>
      <c r="N617" s="20">
        <f t="shared" si="9"/>
        <v>2</v>
      </c>
    </row>
    <row r="618" spans="1:14">
      <c r="A618" s="307" t="str">
        <f>HYPERLINK("http://www.wantgoo.com/stock/chart.aspx?stockno=8406","8406")</f>
        <v>8406</v>
      </c>
      <c r="C618" s="18">
        <f>VLOOKUP(8406,季財報!A:H,3)</f>
        <v>0</v>
      </c>
      <c r="D618" s="18">
        <f>VLOOKUP(8406,季財報!A:H,4)</f>
        <v>0</v>
      </c>
      <c r="E618" s="18">
        <f>VLOOKUP(8406,季財報!A:H,5)</f>
        <v>0</v>
      </c>
      <c r="F618" s="18">
        <f>VLOOKUP(8406,季財報!A:H,6)</f>
        <v>1</v>
      </c>
      <c r="G618" s="18">
        <f>VLOOKUP(8406,季財報!A:H,7)</f>
        <v>0</v>
      </c>
      <c r="N618" s="20">
        <f t="shared" si="9"/>
        <v>1</v>
      </c>
    </row>
    <row r="619" spans="1:14">
      <c r="A619" s="308" t="str">
        <f>HYPERLINK("http://www.wantgoo.com/stock/chart.aspx?stockno=6285","6285")</f>
        <v>6285</v>
      </c>
      <c r="C619" s="18">
        <f>VLOOKUP(6285,季財報!A:H,3)</f>
        <v>1</v>
      </c>
      <c r="D619" s="18">
        <f>VLOOKUP(6285,季財報!A:H,4)</f>
        <v>1</v>
      </c>
      <c r="E619" s="18">
        <f>VLOOKUP(6285,季財報!A:H,5)</f>
        <v>0</v>
      </c>
      <c r="F619" s="18">
        <f>VLOOKUP(6285,季財報!A:H,6)</f>
        <v>1</v>
      </c>
      <c r="G619" s="18">
        <f>VLOOKUP(6285,季財報!A:H,7)</f>
        <v>1</v>
      </c>
      <c r="N619" s="20">
        <f t="shared" si="9"/>
        <v>4</v>
      </c>
    </row>
    <row r="620" spans="1:14">
      <c r="A620" s="308" t="str">
        <f>HYPERLINK("http://www.wantgoo.com/stock/chart.aspx?stockno=1591","1591")</f>
        <v>1591</v>
      </c>
      <c r="C620" s="18">
        <f>VLOOKUP(1591,季財報!A:H,3)</f>
        <v>0</v>
      </c>
      <c r="D620" s="18">
        <f>VLOOKUP(1591,季財報!A:H,4)</f>
        <v>1</v>
      </c>
      <c r="E620" s="18">
        <f>VLOOKUP(1591,季財報!A:H,5)</f>
        <v>0</v>
      </c>
      <c r="F620" s="18">
        <f>VLOOKUP(1591,季財報!A:H,6)</f>
        <v>0</v>
      </c>
      <c r="G620" s="18">
        <f>VLOOKUP(1591,季財報!A:H,7)</f>
        <v>0</v>
      </c>
      <c r="N620" s="20">
        <f t="shared" si="9"/>
        <v>1</v>
      </c>
    </row>
    <row r="621" spans="1:14">
      <c r="A621" s="308" t="str">
        <f>HYPERLINK("http://www.wantgoo.com/stock/chart.aspx?stockno=6465","6465")</f>
        <v>6465</v>
      </c>
      <c r="C621" s="18">
        <f>VLOOKUP(6465,季財報!A:H,3)</f>
        <v>1</v>
      </c>
      <c r="D621" s="18">
        <f>VLOOKUP(6465,季財報!A:H,4)</f>
        <v>1</v>
      </c>
      <c r="E621" s="18">
        <f>VLOOKUP(6465,季財報!A:H,5)</f>
        <v>0</v>
      </c>
      <c r="F621" s="18">
        <f>VLOOKUP(6465,季財報!A:H,6)</f>
        <v>1</v>
      </c>
      <c r="G621" s="18">
        <f>VLOOKUP(6465,季財報!A:H,7)</f>
        <v>0</v>
      </c>
      <c r="N621" s="20">
        <f t="shared" si="9"/>
        <v>3</v>
      </c>
    </row>
    <row r="622" spans="1:14">
      <c r="A622" s="307" t="str">
        <f>HYPERLINK("http://www.wantgoo.com/stock/chart.aspx?stockno=6204","6204")</f>
        <v>6204</v>
      </c>
      <c r="C622" s="18">
        <f>VLOOKUP(6204,季財報!A:H,3)</f>
        <v>0</v>
      </c>
      <c r="D622" s="18">
        <f>VLOOKUP(6204,季財報!A:H,4)</f>
        <v>1</v>
      </c>
      <c r="E622" s="18">
        <f>VLOOKUP(6204,季財報!A:H,5)</f>
        <v>0</v>
      </c>
      <c r="F622" s="18">
        <f>VLOOKUP(6204,季財報!A:H,6)</f>
        <v>1</v>
      </c>
      <c r="G622" s="18">
        <f>VLOOKUP(6204,季財報!A:H,7)</f>
        <v>0</v>
      </c>
      <c r="N622" s="20">
        <f t="shared" si="9"/>
        <v>2</v>
      </c>
    </row>
    <row r="623" spans="1:14">
      <c r="A623" s="308" t="str">
        <f>HYPERLINK("http://www.wantgoo.com/stock/chart.aspx?stockno=3221","3221")</f>
        <v>3221</v>
      </c>
      <c r="C623" s="18">
        <f>VLOOKUP(3221,季財報!A:H,3)</f>
        <v>1</v>
      </c>
      <c r="D623" s="18">
        <f>VLOOKUP(3221,季財報!A:H,4)</f>
        <v>1</v>
      </c>
      <c r="E623" s="18">
        <f>VLOOKUP(3221,季財報!A:H,5)</f>
        <v>1</v>
      </c>
      <c r="F623" s="18">
        <f>VLOOKUP(3221,季財報!A:H,6)</f>
        <v>1</v>
      </c>
      <c r="G623" s="18">
        <f>VLOOKUP(3221,季財報!A:H,7)</f>
        <v>0</v>
      </c>
      <c r="N623" s="20">
        <f t="shared" si="9"/>
        <v>4</v>
      </c>
    </row>
    <row r="624" spans="1:14">
      <c r="A624" s="308" t="str">
        <f>HYPERLINK("http://www.wantgoo.com/stock/chart.aspx?stockno=3428","3428")</f>
        <v>3428</v>
      </c>
      <c r="C624" s="18">
        <f>VLOOKUP(3428,季財報!A:H,3)</f>
        <v>1</v>
      </c>
      <c r="D624" s="18">
        <f>VLOOKUP(3428,季財報!A:H,4)</f>
        <v>1</v>
      </c>
      <c r="E624" s="18">
        <f>VLOOKUP(3428,季財報!A:H,5)</f>
        <v>2</v>
      </c>
      <c r="F624" s="18">
        <f>VLOOKUP(3428,季財報!A:H,6)</f>
        <v>1</v>
      </c>
      <c r="G624" s="18">
        <f>VLOOKUP(3428,季財報!A:H,7)</f>
        <v>0</v>
      </c>
      <c r="N624" s="20">
        <f t="shared" si="9"/>
        <v>5</v>
      </c>
    </row>
    <row r="625" spans="1:14">
      <c r="A625" s="307" t="str">
        <f>HYPERLINK("http://www.wantgoo.com/stock/chart.aspx?stockno=8436","8436")</f>
        <v>8436</v>
      </c>
      <c r="C625" s="18">
        <f>VLOOKUP(8436,季財報!A:H,3)</f>
        <v>0</v>
      </c>
      <c r="D625" s="18">
        <f>VLOOKUP(8436,季財報!A:H,4)</f>
        <v>0</v>
      </c>
      <c r="E625" s="18">
        <f>VLOOKUP(8436,季財報!A:H,5)</f>
        <v>2</v>
      </c>
      <c r="F625" s="18">
        <f>VLOOKUP(8436,季財報!A:H,6)</f>
        <v>1</v>
      </c>
      <c r="G625" s="18">
        <f>VLOOKUP(8436,季財報!A:H,7)</f>
        <v>1</v>
      </c>
      <c r="N625" s="20">
        <f t="shared" si="9"/>
        <v>4</v>
      </c>
    </row>
    <row r="626" spans="1:14">
      <c r="A626" s="307" t="str">
        <f>HYPERLINK("http://www.wantgoo.com/stock/chart.aspx?stockno=1725","1725")</f>
        <v>1725</v>
      </c>
      <c r="C626" s="18">
        <f>VLOOKUP(1725,季財報!A:H,3)</f>
        <v>0</v>
      </c>
      <c r="D626" s="18">
        <f>VLOOKUP(1725,季財報!A:H,4)</f>
        <v>1</v>
      </c>
      <c r="E626" s="18">
        <f>VLOOKUP(1725,季財報!A:H,5)</f>
        <v>1</v>
      </c>
      <c r="F626" s="18">
        <f>VLOOKUP(1725,季財報!A:H,6)</f>
        <v>1</v>
      </c>
      <c r="G626" s="18">
        <f>VLOOKUP(1725,季財報!A:H,7)</f>
        <v>0</v>
      </c>
      <c r="N626" s="20">
        <f t="shared" si="9"/>
        <v>3</v>
      </c>
    </row>
    <row r="627" spans="1:14">
      <c r="A627" s="307" t="str">
        <f>HYPERLINK("http://www.wantgoo.com/stock/chart.aspx?stockno=4303","4303")</f>
        <v>4303</v>
      </c>
      <c r="C627" s="18">
        <f>VLOOKUP(4303,季財報!A:H,3)</f>
        <v>1</v>
      </c>
      <c r="D627" s="18">
        <f>VLOOKUP(4303,季財報!A:H,4)</f>
        <v>1</v>
      </c>
      <c r="E627" s="18">
        <f>VLOOKUP(4303,季財報!A:H,5)</f>
        <v>0</v>
      </c>
      <c r="F627" s="18">
        <f>VLOOKUP(4303,季財報!A:H,6)</f>
        <v>0</v>
      </c>
      <c r="G627" s="18">
        <f>VLOOKUP(4303,季財報!A:H,7)</f>
        <v>0</v>
      </c>
      <c r="N627" s="20">
        <f t="shared" si="9"/>
        <v>2</v>
      </c>
    </row>
    <row r="628" spans="1:14">
      <c r="A628" s="308" t="str">
        <f>HYPERLINK("http://www.wantgoo.com/stock/chart.aspx?stockno=3679","3679")</f>
        <v>3679</v>
      </c>
      <c r="C628" s="18">
        <f>VLOOKUP(3679,季財報!A:H,3)</f>
        <v>1</v>
      </c>
      <c r="D628" s="18">
        <f>VLOOKUP(3679,季財報!A:H,4)</f>
        <v>1</v>
      </c>
      <c r="E628" s="18">
        <f>VLOOKUP(3679,季財報!A:H,5)</f>
        <v>0</v>
      </c>
      <c r="F628" s="18">
        <f>VLOOKUP(3679,季財報!A:H,6)</f>
        <v>0</v>
      </c>
      <c r="G628" s="18">
        <f>VLOOKUP(3679,季財報!A:H,7)</f>
        <v>1</v>
      </c>
      <c r="N628" s="20">
        <f t="shared" si="9"/>
        <v>3</v>
      </c>
    </row>
    <row r="629" spans="1:14">
      <c r="A629" s="307" t="str">
        <f>HYPERLINK("http://www.wantgoo.com/stock/chart.aspx?stockno=3443","3443")</f>
        <v>3443</v>
      </c>
      <c r="C629" s="18">
        <f>VLOOKUP(3443,季財報!A:H,3)</f>
        <v>1</v>
      </c>
      <c r="D629" s="18">
        <f>VLOOKUP(3443,季財報!A:H,4)</f>
        <v>1</v>
      </c>
      <c r="E629" s="18">
        <f>VLOOKUP(3443,季財報!A:H,5)</f>
        <v>0</v>
      </c>
      <c r="F629" s="18">
        <f>VLOOKUP(3443,季財報!A:H,6)</f>
        <v>1</v>
      </c>
      <c r="G629" s="18">
        <f>VLOOKUP(3443,季財報!A:H,7)</f>
        <v>0</v>
      </c>
      <c r="N629" s="20">
        <f t="shared" si="9"/>
        <v>3</v>
      </c>
    </row>
    <row r="630" spans="1:14">
      <c r="A630" s="307" t="str">
        <f>HYPERLINK("http://www.wantgoo.com/stock/chart.aspx?stockno=3374","3374")</f>
        <v>3374</v>
      </c>
      <c r="C630" s="18">
        <f>VLOOKUP(3374,季財報!A:H,3)</f>
        <v>0</v>
      </c>
      <c r="D630" s="18">
        <f>VLOOKUP(3374,季財報!A:H,4)</f>
        <v>0</v>
      </c>
      <c r="E630" s="18">
        <f>VLOOKUP(3374,季財報!A:H,5)</f>
        <v>0</v>
      </c>
      <c r="F630" s="18">
        <f>VLOOKUP(3374,季財報!A:H,6)</f>
        <v>0</v>
      </c>
      <c r="G630" s="18">
        <f>VLOOKUP(3374,季財報!A:H,7)</f>
        <v>0</v>
      </c>
      <c r="N630" s="20">
        <f t="shared" si="9"/>
        <v>0</v>
      </c>
    </row>
    <row r="631" spans="1:14">
      <c r="A631" s="308" t="str">
        <f>HYPERLINK("http://www.wantgoo.com/stock/chart.aspx?stockno=5388","5388")</f>
        <v>5388</v>
      </c>
      <c r="C631" s="18">
        <f>VLOOKUP(5388,季財報!A:H,3)</f>
        <v>1</v>
      </c>
      <c r="D631" s="18">
        <f>VLOOKUP(5388,季財報!A:H,4)</f>
        <v>1</v>
      </c>
      <c r="E631" s="18">
        <f>VLOOKUP(5388,季財報!A:H,5)</f>
        <v>1</v>
      </c>
      <c r="F631" s="18">
        <f>VLOOKUP(5388,季財報!A:H,6)</f>
        <v>1</v>
      </c>
      <c r="G631" s="18">
        <f>VLOOKUP(5388,季財報!A:H,7)</f>
        <v>1</v>
      </c>
      <c r="N631" s="20">
        <f t="shared" si="9"/>
        <v>5</v>
      </c>
    </row>
    <row r="632" spans="1:14">
      <c r="A632" s="308" t="str">
        <f>HYPERLINK("http://www.wantgoo.com/stock/chart.aspx?stockno=5269","5269")</f>
        <v>5269</v>
      </c>
      <c r="C632" s="18">
        <f>VLOOKUP(5269,季財報!A:H,3)</f>
        <v>1</v>
      </c>
      <c r="D632" s="18">
        <f>VLOOKUP(5269,季財報!A:H,4)</f>
        <v>1</v>
      </c>
      <c r="E632" s="18">
        <f>VLOOKUP(5269,季財報!A:H,5)</f>
        <v>2</v>
      </c>
      <c r="F632" s="18">
        <f>VLOOKUP(5269,季財報!A:H,6)</f>
        <v>1</v>
      </c>
      <c r="G632" s="18">
        <f>VLOOKUP(5269,季財報!A:H,7)</f>
        <v>1</v>
      </c>
      <c r="N632" s="20">
        <f t="shared" si="9"/>
        <v>6</v>
      </c>
    </row>
    <row r="633" spans="1:14">
      <c r="A633" s="307" t="str">
        <f>HYPERLINK("http://www.wantgoo.com/stock/chart.aspx?stockno=1727","1727")</f>
        <v>1727</v>
      </c>
      <c r="C633" s="18">
        <f>VLOOKUP(1727,季財報!A:H,3)</f>
        <v>0</v>
      </c>
      <c r="D633" s="18">
        <f>VLOOKUP(1727,季財報!A:H,4)</f>
        <v>1</v>
      </c>
      <c r="E633" s="18">
        <f>VLOOKUP(1727,季財報!A:H,5)</f>
        <v>0</v>
      </c>
      <c r="F633" s="18">
        <f>VLOOKUP(1727,季財報!A:H,6)</f>
        <v>1</v>
      </c>
      <c r="G633" s="18">
        <f>VLOOKUP(1727,季財報!A:H,7)</f>
        <v>0</v>
      </c>
      <c r="N633" s="20">
        <f t="shared" si="9"/>
        <v>2</v>
      </c>
    </row>
    <row r="634" spans="1:14">
      <c r="A634" s="307" t="str">
        <f>HYPERLINK("http://www.wantgoo.com/stock/chart.aspx?stockno=2923","2923")</f>
        <v>2923</v>
      </c>
      <c r="C634" s="18">
        <f>VLOOKUP(2923,季財報!A:H,3)</f>
        <v>0</v>
      </c>
      <c r="D634" s="18">
        <f>VLOOKUP(2923,季財報!A:H,4)</f>
        <v>0</v>
      </c>
      <c r="E634" s="18">
        <f>VLOOKUP(2923,季財報!A:H,5)</f>
        <v>2</v>
      </c>
      <c r="F634" s="18">
        <f>VLOOKUP(2923,季財報!A:H,6)</f>
        <v>1</v>
      </c>
      <c r="G634" s="18">
        <f>VLOOKUP(2923,季財報!A:H,7)</f>
        <v>1</v>
      </c>
      <c r="N634" s="20">
        <f t="shared" si="9"/>
        <v>4</v>
      </c>
    </row>
    <row r="635" spans="1:14">
      <c r="A635" s="308" t="str">
        <f>HYPERLINK("http://www.wantgoo.com/stock/chart.aspx?stockno=3014","3014")</f>
        <v>3014</v>
      </c>
      <c r="C635" s="18">
        <f>VLOOKUP(3014,季財報!A:H,3)</f>
        <v>0</v>
      </c>
      <c r="D635" s="18">
        <f>VLOOKUP(3014,季財報!A:H,4)</f>
        <v>1</v>
      </c>
      <c r="E635" s="18">
        <f>VLOOKUP(3014,季財報!A:H,5)</f>
        <v>1</v>
      </c>
      <c r="F635" s="18">
        <f>VLOOKUP(3014,季財報!A:H,6)</f>
        <v>1</v>
      </c>
      <c r="G635" s="18">
        <f>VLOOKUP(3014,季財報!A:H,7)</f>
        <v>0</v>
      </c>
      <c r="N635" s="20">
        <f t="shared" si="9"/>
        <v>3</v>
      </c>
    </row>
    <row r="636" spans="1:14">
      <c r="A636" s="308" t="str">
        <f>HYPERLINK("http://www.wantgoo.com/stock/chart.aspx?stockno=3532","3532")</f>
        <v>3532</v>
      </c>
      <c r="C636" s="18">
        <f>VLOOKUP(3532,季財報!A:H,3)</f>
        <v>1</v>
      </c>
      <c r="D636" s="18">
        <f>VLOOKUP(3532,季財報!A:H,4)</f>
        <v>1</v>
      </c>
      <c r="E636" s="18">
        <f>VLOOKUP(3532,季財報!A:H,5)</f>
        <v>0</v>
      </c>
      <c r="F636" s="18">
        <f>VLOOKUP(3532,季財報!A:H,6)</f>
        <v>1</v>
      </c>
      <c r="G636" s="18">
        <f>VLOOKUP(3532,季財報!A:H,7)</f>
        <v>0</v>
      </c>
      <c r="N636" s="20">
        <f t="shared" si="9"/>
        <v>3</v>
      </c>
    </row>
    <row r="637" spans="1:14">
      <c r="A637" s="307" t="str">
        <f>HYPERLINK("http://www.wantgoo.com/stock/chart.aspx?stockno=2468","2468")</f>
        <v>2468</v>
      </c>
      <c r="C637" s="18">
        <f>VLOOKUP(2468,季財報!A:H,3)</f>
        <v>0</v>
      </c>
      <c r="D637" s="18">
        <f>VLOOKUP(2468,季財報!A:H,4)</f>
        <v>1</v>
      </c>
      <c r="E637" s="18">
        <f>VLOOKUP(2468,季財報!A:H,5)</f>
        <v>1</v>
      </c>
      <c r="F637" s="18">
        <f>VLOOKUP(2468,季財報!A:H,6)</f>
        <v>0</v>
      </c>
      <c r="G637" s="18">
        <f>VLOOKUP(2468,季財報!A:H,7)</f>
        <v>0</v>
      </c>
      <c r="N637" s="20">
        <f t="shared" si="9"/>
        <v>2</v>
      </c>
    </row>
    <row r="638" spans="1:14">
      <c r="A638" s="307" t="str">
        <f>HYPERLINK("http://www.wantgoo.com/stock/chart.aspx?stockno=2722","2722")</f>
        <v>2722</v>
      </c>
      <c r="C638" s="18">
        <f>VLOOKUP(2722,季財報!A:H,3)</f>
        <v>0</v>
      </c>
      <c r="D638" s="18">
        <f>VLOOKUP(2722,季財報!A:H,4)</f>
        <v>1</v>
      </c>
      <c r="E638" s="18">
        <f>VLOOKUP(2722,季財報!A:H,5)</f>
        <v>0</v>
      </c>
      <c r="F638" s="18">
        <f>VLOOKUP(2722,季財報!A:H,6)</f>
        <v>0</v>
      </c>
      <c r="G638" s="18">
        <f>VLOOKUP(2722,季財報!A:H,7)</f>
        <v>0</v>
      </c>
      <c r="N638" s="20">
        <f t="shared" si="9"/>
        <v>1</v>
      </c>
    </row>
    <row r="639" spans="1:14">
      <c r="A639" s="307" t="str">
        <f>HYPERLINK("http://www.wantgoo.com/stock/chart.aspx?stockno=4735","4735")</f>
        <v>4735</v>
      </c>
      <c r="C639" s="18">
        <f>VLOOKUP(4735,季財報!A:H,3)</f>
        <v>1</v>
      </c>
      <c r="D639" s="18">
        <f>VLOOKUP(4735,季財報!A:H,4)</f>
        <v>1</v>
      </c>
      <c r="E639" s="18">
        <f>VLOOKUP(4735,季財報!A:H,5)</f>
        <v>0</v>
      </c>
      <c r="F639" s="18">
        <f>VLOOKUP(4735,季財報!A:H,6)</f>
        <v>1</v>
      </c>
      <c r="G639" s="18">
        <f>VLOOKUP(4735,季財報!A:H,7)</f>
        <v>0</v>
      </c>
      <c r="N639" s="20">
        <f t="shared" si="9"/>
        <v>3</v>
      </c>
    </row>
    <row r="640" spans="1:14">
      <c r="A640" s="308" t="str">
        <f>HYPERLINK("http://www.wantgoo.com/stock/chart.aspx?stockno=1720","1720")</f>
        <v>1720</v>
      </c>
      <c r="C640" s="18">
        <f>VLOOKUP(1720,季財報!A:H,3)</f>
        <v>0</v>
      </c>
      <c r="D640" s="18">
        <f>VLOOKUP(1720,季財報!A:H,4)</f>
        <v>1</v>
      </c>
      <c r="E640" s="18">
        <f>VLOOKUP(1720,季財報!A:H,5)</f>
        <v>1</v>
      </c>
      <c r="F640" s="18">
        <f>VLOOKUP(1720,季財報!A:H,6)</f>
        <v>1</v>
      </c>
      <c r="G640" s="18">
        <f>VLOOKUP(1720,季財報!A:H,7)</f>
        <v>0</v>
      </c>
      <c r="N640" s="20">
        <f t="shared" si="9"/>
        <v>3</v>
      </c>
    </row>
    <row r="641" spans="1:14">
      <c r="A641" s="307" t="str">
        <f>HYPERLINK("http://www.wantgoo.com/stock/chart.aspx?stockno=2439","2439")</f>
        <v>2439</v>
      </c>
      <c r="C641" s="18">
        <f>VLOOKUP(2439,季財報!A:H,3)</f>
        <v>0</v>
      </c>
      <c r="D641" s="18">
        <f>VLOOKUP(2439,季財報!A:H,4)</f>
        <v>1</v>
      </c>
      <c r="E641" s="18">
        <f>VLOOKUP(2439,季財報!A:H,5)</f>
        <v>0</v>
      </c>
      <c r="F641" s="18">
        <f>VLOOKUP(2439,季財報!A:H,6)</f>
        <v>1</v>
      </c>
      <c r="G641" s="18">
        <f>VLOOKUP(2439,季財報!A:H,7)</f>
        <v>0</v>
      </c>
      <c r="N641" s="20">
        <f t="shared" si="9"/>
        <v>2</v>
      </c>
    </row>
    <row r="642" spans="1:14">
      <c r="A642" s="308" t="str">
        <f>HYPERLINK("http://www.wantgoo.com/stock/chart.aspx?stockno=3285","3285")</f>
        <v>3285</v>
      </c>
      <c r="C642" s="18">
        <f>VLOOKUP(3285,季財報!A:H,3)</f>
        <v>1</v>
      </c>
      <c r="D642" s="18">
        <f>VLOOKUP(3285,季財報!A:H,4)</f>
        <v>1</v>
      </c>
      <c r="E642" s="18">
        <f>VLOOKUP(3285,季財報!A:H,5)</f>
        <v>1</v>
      </c>
      <c r="F642" s="18">
        <f>VLOOKUP(3285,季財報!A:H,6)</f>
        <v>1</v>
      </c>
      <c r="G642" s="18">
        <f>VLOOKUP(3285,季財報!A:H,7)</f>
        <v>0</v>
      </c>
      <c r="N642" s="20">
        <f t="shared" si="9"/>
        <v>4</v>
      </c>
    </row>
    <row r="643" spans="1:14">
      <c r="A643" s="307" t="str">
        <f>HYPERLINK("http://www.wantgoo.com/stock/chart.aspx?stockno=6145","6145")</f>
        <v>6145</v>
      </c>
      <c r="C643" s="18">
        <f>VLOOKUP(6145,季財報!A:H,3)</f>
        <v>0</v>
      </c>
      <c r="D643" s="18">
        <f>VLOOKUP(6145,季財報!A:H,4)</f>
        <v>1</v>
      </c>
      <c r="E643" s="18">
        <f>VLOOKUP(6145,季財報!A:H,5)</f>
        <v>0</v>
      </c>
      <c r="F643" s="18">
        <f>VLOOKUP(6145,季財報!A:H,6)</f>
        <v>1</v>
      </c>
      <c r="G643" s="18">
        <f>VLOOKUP(6145,季財報!A:H,7)</f>
        <v>0</v>
      </c>
      <c r="N643" s="20">
        <f t="shared" si="9"/>
        <v>2</v>
      </c>
    </row>
    <row r="644" spans="1:14">
      <c r="A644" s="308" t="str">
        <f>HYPERLINK("http://www.wantgoo.com/stock/chart.aspx?stockno=2207","2207")</f>
        <v>2207</v>
      </c>
      <c r="C644" s="18">
        <f>VLOOKUP(2207,季財報!A:H,3)</f>
        <v>0</v>
      </c>
      <c r="D644" s="18">
        <f>VLOOKUP(2207,季財報!A:H,4)</f>
        <v>1</v>
      </c>
      <c r="E644" s="18">
        <f>VLOOKUP(2207,季財報!A:H,5)</f>
        <v>0</v>
      </c>
      <c r="F644" s="18">
        <f>VLOOKUP(2207,季財報!A:H,6)</f>
        <v>1</v>
      </c>
      <c r="G644" s="18">
        <f>VLOOKUP(2207,季財報!A:H,7)</f>
        <v>0</v>
      </c>
      <c r="N644" s="20">
        <f t="shared" ref="N644:N707" si="10">SUM(C644:M644)</f>
        <v>2</v>
      </c>
    </row>
    <row r="645" spans="1:14">
      <c r="A645" s="308" t="str">
        <f>HYPERLINK("http://www.wantgoo.com/stock/chart.aspx?stockno=8916","8916")</f>
        <v>8916</v>
      </c>
      <c r="C645" s="18">
        <f>VLOOKUP(8916,季財報!A:H,3)</f>
        <v>1</v>
      </c>
      <c r="D645" s="18">
        <f>VLOOKUP(8916,季財報!A:H,4)</f>
        <v>1</v>
      </c>
      <c r="E645" s="18">
        <f>VLOOKUP(8916,季財報!A:H,5)</f>
        <v>2</v>
      </c>
      <c r="F645" s="18">
        <f>VLOOKUP(8916,季財報!A:H,6)</f>
        <v>1</v>
      </c>
      <c r="G645" s="18">
        <f>VLOOKUP(8916,季財報!A:H,7)</f>
        <v>0</v>
      </c>
      <c r="N645" s="20">
        <f t="shared" si="10"/>
        <v>5</v>
      </c>
    </row>
    <row r="646" spans="1:14">
      <c r="A646" s="308" t="str">
        <f>HYPERLINK("http://www.wantgoo.com/stock/chart.aspx?stockno=1519","1519")</f>
        <v>1519</v>
      </c>
      <c r="C646" s="18">
        <f>VLOOKUP(1519,季財報!A:H,3)</f>
        <v>0</v>
      </c>
      <c r="D646" s="18">
        <f>VLOOKUP(1519,季財報!A:H,4)</f>
        <v>0</v>
      </c>
      <c r="E646" s="18">
        <f>VLOOKUP(1519,季財報!A:H,5)</f>
        <v>0</v>
      </c>
      <c r="F646" s="18">
        <f>VLOOKUP(1519,季財報!A:H,6)</f>
        <v>0</v>
      </c>
      <c r="G646" s="18">
        <f>VLOOKUP(1519,季財報!A:H,7)</f>
        <v>0</v>
      </c>
      <c r="N646" s="20">
        <f t="shared" si="10"/>
        <v>0</v>
      </c>
    </row>
    <row r="647" spans="1:14">
      <c r="A647" s="308" t="str">
        <f>HYPERLINK("http://www.wantgoo.com/stock/chart.aspx?stockno=3653","3653")</f>
        <v>3653</v>
      </c>
      <c r="C647" s="18">
        <f>VLOOKUP(3653,季財報!A:H,3)</f>
        <v>1</v>
      </c>
      <c r="D647" s="18">
        <f>VLOOKUP(3653,季財報!A:H,4)</f>
        <v>1</v>
      </c>
      <c r="E647" s="18">
        <f>VLOOKUP(3653,季財報!A:H,5)</f>
        <v>0</v>
      </c>
      <c r="F647" s="18">
        <f>VLOOKUP(3653,季財報!A:H,6)</f>
        <v>1</v>
      </c>
      <c r="G647" s="18">
        <f>VLOOKUP(3653,季財報!A:H,7)</f>
        <v>0</v>
      </c>
      <c r="N647" s="20">
        <f t="shared" si="10"/>
        <v>3</v>
      </c>
    </row>
    <row r="648" spans="1:14">
      <c r="A648" s="307" t="str">
        <f>HYPERLINK("http://www.wantgoo.com/stock/chart.aspx?stockno=3552","3552")</f>
        <v>3552</v>
      </c>
      <c r="C648" s="18">
        <f>VLOOKUP(3552,季財報!A:H,3)</f>
        <v>1</v>
      </c>
      <c r="D648" s="18">
        <f>VLOOKUP(3552,季財報!A:H,4)</f>
        <v>1</v>
      </c>
      <c r="E648" s="18">
        <f>VLOOKUP(3552,季財報!A:H,5)</f>
        <v>0</v>
      </c>
      <c r="F648" s="18">
        <f>VLOOKUP(3552,季財報!A:H,6)</f>
        <v>1</v>
      </c>
      <c r="G648" s="18">
        <f>VLOOKUP(3552,季財報!A:H,7)</f>
        <v>0</v>
      </c>
      <c r="N648" s="20">
        <f t="shared" si="10"/>
        <v>3</v>
      </c>
    </row>
    <row r="649" spans="1:14">
      <c r="A649" s="308" t="str">
        <f>HYPERLINK("http://www.wantgoo.com/stock/chart.aspx?stockno=8044","8044")</f>
        <v>8044</v>
      </c>
      <c r="C649" s="18">
        <f>VLOOKUP(8044,季財報!A:H,3)</f>
        <v>0</v>
      </c>
      <c r="D649" s="18">
        <f>VLOOKUP(8044,季財報!A:H,4)</f>
        <v>1</v>
      </c>
      <c r="E649" s="18">
        <f>VLOOKUP(8044,季財報!A:H,5)</f>
        <v>0</v>
      </c>
      <c r="F649" s="18">
        <f>VLOOKUP(8044,季財報!A:H,6)</f>
        <v>0</v>
      </c>
      <c r="G649" s="18">
        <f>VLOOKUP(8044,季財報!A:H,7)</f>
        <v>0</v>
      </c>
      <c r="N649" s="20">
        <f t="shared" si="10"/>
        <v>1</v>
      </c>
    </row>
    <row r="650" spans="1:14">
      <c r="A650" s="308" t="str">
        <f>HYPERLINK("http://www.wantgoo.com/stock/chart.aspx?stockno=1568","1568")</f>
        <v>1568</v>
      </c>
      <c r="C650" s="18">
        <f>VLOOKUP(1568,季財報!A:H,3)</f>
        <v>1</v>
      </c>
      <c r="D650" s="18">
        <f>VLOOKUP(1568,季財報!A:H,4)</f>
        <v>1</v>
      </c>
      <c r="E650" s="18">
        <f>VLOOKUP(1568,季財報!A:H,5)</f>
        <v>0</v>
      </c>
      <c r="F650" s="18">
        <f>VLOOKUP(1568,季財報!A:H,6)</f>
        <v>1</v>
      </c>
      <c r="G650" s="18">
        <f>VLOOKUP(1568,季財報!A:H,7)</f>
        <v>0</v>
      </c>
      <c r="N650" s="20">
        <f t="shared" si="10"/>
        <v>3</v>
      </c>
    </row>
    <row r="651" spans="1:14">
      <c r="A651" s="308" t="str">
        <f>HYPERLINK("http://www.wantgoo.com/stock/chart.aspx?stockno=5704","5704")</f>
        <v>5704</v>
      </c>
      <c r="C651" s="18">
        <f>VLOOKUP(5704,季財報!A:H,3)</f>
        <v>0</v>
      </c>
      <c r="D651" s="18">
        <f>VLOOKUP(5704,季財報!A:H,4)</f>
        <v>1</v>
      </c>
      <c r="E651" s="18">
        <f>VLOOKUP(5704,季財報!A:H,5)</f>
        <v>0</v>
      </c>
      <c r="F651" s="18">
        <f>VLOOKUP(5704,季財報!A:H,6)</f>
        <v>0</v>
      </c>
      <c r="G651" s="18">
        <f>VLOOKUP(5704,季財報!A:H,7)</f>
        <v>0</v>
      </c>
      <c r="N651" s="20">
        <f t="shared" si="10"/>
        <v>1</v>
      </c>
    </row>
    <row r="652" spans="1:14">
      <c r="A652" s="308" t="str">
        <f>HYPERLINK("http://www.wantgoo.com/stock/chart.aspx?stockno=2485","2485")</f>
        <v>2485</v>
      </c>
      <c r="C652" s="18">
        <f>VLOOKUP(2485,季財報!A:H,3)</f>
        <v>1</v>
      </c>
      <c r="D652" s="18">
        <f>VLOOKUP(2485,季財報!A:H,4)</f>
        <v>1</v>
      </c>
      <c r="E652" s="18">
        <f>VLOOKUP(2485,季財報!A:H,5)</f>
        <v>1</v>
      </c>
      <c r="F652" s="18">
        <f>VLOOKUP(2485,季財報!A:H,6)</f>
        <v>1</v>
      </c>
      <c r="G652" s="18">
        <f>VLOOKUP(2485,季財報!A:H,7)</f>
        <v>1</v>
      </c>
      <c r="N652" s="20">
        <f t="shared" si="10"/>
        <v>5</v>
      </c>
    </row>
    <row r="653" spans="1:14">
      <c r="A653" s="308" t="str">
        <f>HYPERLINK("http://www.wantgoo.com/stock/chart.aspx?stockno=1752","1752")</f>
        <v>1752</v>
      </c>
      <c r="C653" s="18">
        <f>VLOOKUP(1752,季財報!A:H,3)</f>
        <v>1</v>
      </c>
      <c r="D653" s="18">
        <f>VLOOKUP(1752,季財報!A:H,4)</f>
        <v>1</v>
      </c>
      <c r="E653" s="18">
        <f>VLOOKUP(1752,季財報!A:H,5)</f>
        <v>0</v>
      </c>
      <c r="F653" s="18">
        <f>VLOOKUP(1752,季財報!A:H,6)</f>
        <v>1</v>
      </c>
      <c r="G653" s="18">
        <f>VLOOKUP(1752,季財報!A:H,7)</f>
        <v>0</v>
      </c>
      <c r="N653" s="20">
        <f t="shared" si="10"/>
        <v>3</v>
      </c>
    </row>
    <row r="654" spans="1:14">
      <c r="A654" s="308" t="str">
        <f>HYPERLINK("http://www.wantgoo.com/stock/chart.aspx?stockno=1460","1460")</f>
        <v>1460</v>
      </c>
      <c r="C654" s="18">
        <f>VLOOKUP(1460,季財報!A:H,3)</f>
        <v>0</v>
      </c>
      <c r="D654" s="18">
        <f>VLOOKUP(1460,季財報!A:H,4)</f>
        <v>1</v>
      </c>
      <c r="E654" s="18">
        <f>VLOOKUP(1460,季財報!A:H,5)</f>
        <v>1</v>
      </c>
      <c r="F654" s="18">
        <f>VLOOKUP(1460,季財報!A:H,6)</f>
        <v>1</v>
      </c>
      <c r="G654" s="18">
        <f>VLOOKUP(1460,季財報!A:H,7)</f>
        <v>0</v>
      </c>
      <c r="N654" s="20">
        <f t="shared" si="10"/>
        <v>3</v>
      </c>
    </row>
    <row r="655" spans="1:14">
      <c r="A655" s="308" t="str">
        <f>HYPERLINK("http://www.wantgoo.com/stock/chart.aspx?stockno=3035","3035")</f>
        <v>3035</v>
      </c>
      <c r="C655" s="18">
        <f>VLOOKUP(3035,季財報!A:H,3)</f>
        <v>0</v>
      </c>
      <c r="D655" s="18">
        <f>VLOOKUP(3035,季財報!A:H,4)</f>
        <v>1</v>
      </c>
      <c r="E655" s="18">
        <f>VLOOKUP(3035,季財報!A:H,5)</f>
        <v>0</v>
      </c>
      <c r="F655" s="18">
        <f>VLOOKUP(3035,季財報!A:H,6)</f>
        <v>0</v>
      </c>
      <c r="G655" s="18">
        <f>VLOOKUP(3035,季財報!A:H,7)</f>
        <v>0</v>
      </c>
      <c r="N655" s="20">
        <f t="shared" si="10"/>
        <v>1</v>
      </c>
    </row>
    <row r="656" spans="1:14">
      <c r="A656" s="308" t="str">
        <f>HYPERLINK("http://www.wantgoo.com/stock/chart.aspx?stockno=4127","4127")</f>
        <v>4127</v>
      </c>
      <c r="C656" s="18">
        <f>VLOOKUP(4127,季財報!A:H,3)</f>
        <v>0</v>
      </c>
      <c r="D656" s="18">
        <f>VLOOKUP(4127,季財報!A:H,4)</f>
        <v>0</v>
      </c>
      <c r="E656" s="18">
        <f>VLOOKUP(4127,季財報!A:H,5)</f>
        <v>0</v>
      </c>
      <c r="F656" s="18">
        <f>VLOOKUP(4127,季財報!A:H,6)</f>
        <v>0</v>
      </c>
      <c r="G656" s="18">
        <f>VLOOKUP(4127,季財報!A:H,7)</f>
        <v>0</v>
      </c>
      <c r="N656" s="20">
        <f t="shared" si="10"/>
        <v>0</v>
      </c>
    </row>
    <row r="657" spans="1:14">
      <c r="A657" s="307" t="str">
        <f>HYPERLINK("http://www.wantgoo.com/stock/chart.aspx?stockno=5609","5609")</f>
        <v>5609</v>
      </c>
      <c r="C657" s="18">
        <f>VLOOKUP(5609,季財報!A:H,3)</f>
        <v>0</v>
      </c>
      <c r="D657" s="18">
        <f>VLOOKUP(5609,季財報!A:H,4)</f>
        <v>0</v>
      </c>
      <c r="E657" s="18">
        <f>VLOOKUP(5609,季財報!A:H,5)</f>
        <v>1</v>
      </c>
      <c r="F657" s="18">
        <f>VLOOKUP(5609,季財報!A:H,6)</f>
        <v>0</v>
      </c>
      <c r="G657" s="18">
        <f>VLOOKUP(5609,季財報!A:H,7)</f>
        <v>0</v>
      </c>
      <c r="N657" s="20">
        <f t="shared" si="10"/>
        <v>1</v>
      </c>
    </row>
    <row r="658" spans="1:14">
      <c r="A658" s="308" t="str">
        <f>HYPERLINK("http://www.wantgoo.com/stock/chart.aspx?stockno=4702","4702")</f>
        <v>4702</v>
      </c>
      <c r="C658" s="18">
        <f>VLOOKUP(4702,季財報!A:H,3)</f>
        <v>0</v>
      </c>
      <c r="D658" s="18">
        <f>VLOOKUP(4702,季財報!A:H,4)</f>
        <v>0</v>
      </c>
      <c r="E658" s="18">
        <f>VLOOKUP(4702,季財報!A:H,5)</f>
        <v>0</v>
      </c>
      <c r="F658" s="18">
        <f>VLOOKUP(4702,季財報!A:H,6)</f>
        <v>1</v>
      </c>
      <c r="G658" s="18">
        <f>VLOOKUP(4702,季財報!A:H,7)</f>
        <v>0</v>
      </c>
      <c r="N658" s="20">
        <f t="shared" si="10"/>
        <v>1</v>
      </c>
    </row>
    <row r="659" spans="1:14">
      <c r="A659" s="307" t="str">
        <f>HYPERLINK("http://www.wantgoo.com/stock/chart.aspx?stockno=8923","8923")</f>
        <v>8923</v>
      </c>
      <c r="C659" s="18">
        <f>VLOOKUP(8923,季財報!A:H,3)</f>
        <v>0</v>
      </c>
      <c r="D659" s="18">
        <f>VLOOKUP(8923,季財報!A:H,4)</f>
        <v>1</v>
      </c>
      <c r="E659" s="18">
        <f>VLOOKUP(8923,季財報!A:H,5)</f>
        <v>0</v>
      </c>
      <c r="F659" s="18">
        <f>VLOOKUP(8923,季財報!A:H,6)</f>
        <v>0</v>
      </c>
      <c r="G659" s="18">
        <f>VLOOKUP(8923,季財報!A:H,7)</f>
        <v>0</v>
      </c>
      <c r="N659" s="20">
        <f t="shared" si="10"/>
        <v>1</v>
      </c>
    </row>
    <row r="660" spans="1:14">
      <c r="A660" s="308" t="str">
        <f>HYPERLINK("http://www.wantgoo.com/stock/chart.aspx?stockno=6123","6123")</f>
        <v>6123</v>
      </c>
      <c r="C660" s="18">
        <f>VLOOKUP(6123,季財報!A:H,3)</f>
        <v>1</v>
      </c>
      <c r="D660" s="18">
        <f>VLOOKUP(6123,季財報!A:H,4)</f>
        <v>1</v>
      </c>
      <c r="E660" s="18">
        <f>VLOOKUP(6123,季財報!A:H,5)</f>
        <v>1</v>
      </c>
      <c r="F660" s="18">
        <f>VLOOKUP(6123,季財報!A:H,6)</f>
        <v>0</v>
      </c>
      <c r="G660" s="18">
        <f>VLOOKUP(6123,季財報!A:H,7)</f>
        <v>0</v>
      </c>
      <c r="N660" s="20">
        <f t="shared" si="10"/>
        <v>3</v>
      </c>
    </row>
    <row r="661" spans="1:14">
      <c r="A661" s="308" t="str">
        <f>HYPERLINK("http://www.wantgoo.com/stock/chart.aspx?stockno=1724","1724")</f>
        <v>1724</v>
      </c>
      <c r="C661" s="18">
        <f>VLOOKUP(1724,季財報!A:H,3)</f>
        <v>1</v>
      </c>
      <c r="D661" s="18">
        <f>VLOOKUP(1724,季財報!A:H,4)</f>
        <v>1</v>
      </c>
      <c r="E661" s="18">
        <f>VLOOKUP(1724,季財報!A:H,5)</f>
        <v>1</v>
      </c>
      <c r="F661" s="18">
        <f>VLOOKUP(1724,季財報!A:H,6)</f>
        <v>1</v>
      </c>
      <c r="G661" s="18">
        <f>VLOOKUP(1724,季財報!A:H,7)</f>
        <v>0</v>
      </c>
      <c r="N661" s="20">
        <f t="shared" si="10"/>
        <v>4</v>
      </c>
    </row>
    <row r="662" spans="1:14">
      <c r="A662" s="308" t="str">
        <f>HYPERLINK("http://www.wantgoo.com/stock/chart.aspx?stockno=6180","6180")</f>
        <v>6180</v>
      </c>
      <c r="C662" s="18">
        <f>VLOOKUP(6180,季財報!A:H,3)</f>
        <v>0</v>
      </c>
      <c r="D662" s="18">
        <f>VLOOKUP(6180,季財報!A:H,4)</f>
        <v>0</v>
      </c>
      <c r="E662" s="18">
        <f>VLOOKUP(6180,季財報!A:H,5)</f>
        <v>2</v>
      </c>
      <c r="F662" s="18">
        <f>VLOOKUP(6180,季財報!A:H,6)</f>
        <v>0</v>
      </c>
      <c r="G662" s="18">
        <f>VLOOKUP(6180,季財報!A:H,7)</f>
        <v>0</v>
      </c>
      <c r="N662" s="20">
        <f t="shared" si="10"/>
        <v>2</v>
      </c>
    </row>
    <row r="663" spans="1:14">
      <c r="A663" s="307" t="str">
        <f>HYPERLINK("http://www.wantgoo.com/stock/chart.aspx?stockno=2379","2379")</f>
        <v>2379</v>
      </c>
      <c r="C663" s="18">
        <f>VLOOKUP(2379,季財報!A:H,3)</f>
        <v>0</v>
      </c>
      <c r="D663" s="18">
        <f>VLOOKUP(2379,季財報!A:H,4)</f>
        <v>1</v>
      </c>
      <c r="E663" s="18">
        <f>VLOOKUP(2379,季財報!A:H,5)</f>
        <v>1</v>
      </c>
      <c r="F663" s="18">
        <f>VLOOKUP(2379,季財報!A:H,6)</f>
        <v>0</v>
      </c>
      <c r="G663" s="18">
        <f>VLOOKUP(2379,季財報!A:H,7)</f>
        <v>0</v>
      </c>
      <c r="N663" s="20">
        <f t="shared" si="10"/>
        <v>2</v>
      </c>
    </row>
    <row r="664" spans="1:14">
      <c r="A664" s="307" t="str">
        <f>HYPERLINK("http://www.wantgoo.com/stock/chart.aspx?stockno=6218","6218")</f>
        <v>6218</v>
      </c>
      <c r="C664" s="18">
        <f>VLOOKUP(6218,季財報!A:H,3)</f>
        <v>1</v>
      </c>
      <c r="D664" s="18">
        <f>VLOOKUP(6218,季財報!A:H,4)</f>
        <v>1</v>
      </c>
      <c r="E664" s="18">
        <f>VLOOKUP(6218,季財報!A:H,5)</f>
        <v>0</v>
      </c>
      <c r="F664" s="18">
        <f>VLOOKUP(6218,季財報!A:H,6)</f>
        <v>0</v>
      </c>
      <c r="G664" s="18">
        <f>VLOOKUP(6218,季財報!A:H,7)</f>
        <v>0</v>
      </c>
      <c r="N664" s="20">
        <f t="shared" si="10"/>
        <v>2</v>
      </c>
    </row>
    <row r="665" spans="1:14">
      <c r="A665" s="307" t="str">
        <f>HYPERLINK("http://www.wantgoo.com/stock/chart.aspx?stockno=1504","1504")</f>
        <v>1504</v>
      </c>
      <c r="C665" s="18">
        <f>VLOOKUP(1504,季財報!A:H,3)</f>
        <v>0</v>
      </c>
      <c r="D665" s="18">
        <f>VLOOKUP(1504,季財報!A:H,4)</f>
        <v>1</v>
      </c>
      <c r="E665" s="18">
        <f>VLOOKUP(1504,季財報!A:H,5)</f>
        <v>0</v>
      </c>
      <c r="F665" s="18">
        <f>VLOOKUP(1504,季財報!A:H,6)</f>
        <v>1</v>
      </c>
      <c r="G665" s="18">
        <f>VLOOKUP(1504,季財報!A:H,7)</f>
        <v>0</v>
      </c>
      <c r="N665" s="20">
        <f t="shared" si="10"/>
        <v>2</v>
      </c>
    </row>
    <row r="666" spans="1:14">
      <c r="A666" s="308" t="str">
        <f>HYPERLINK("http://www.wantgoo.com/stock/chart.aspx?stockno=1301","1301")</f>
        <v>1301</v>
      </c>
      <c r="C666" s="18">
        <f>VLOOKUP(1301,季財報!A:H,3)</f>
        <v>0</v>
      </c>
      <c r="D666" s="18">
        <f>VLOOKUP(1301,季財報!A:H,4)</f>
        <v>1</v>
      </c>
      <c r="E666" s="18">
        <f>VLOOKUP(1301,季財報!A:H,5)</f>
        <v>0</v>
      </c>
      <c r="F666" s="18">
        <f>VLOOKUP(1301,季財報!A:H,6)</f>
        <v>1</v>
      </c>
      <c r="G666" s="18">
        <f>VLOOKUP(1301,季財報!A:H,7)</f>
        <v>0</v>
      </c>
      <c r="N666" s="20">
        <f t="shared" si="10"/>
        <v>2</v>
      </c>
    </row>
    <row r="667" spans="1:14">
      <c r="A667" s="307" t="str">
        <f>HYPERLINK("http://www.wantgoo.com/stock/chart.aspx?stockno=1305","1305")</f>
        <v>1305</v>
      </c>
      <c r="C667" s="18">
        <f>VLOOKUP(1305,季財報!A:H,3)</f>
        <v>0</v>
      </c>
      <c r="D667" s="18">
        <f>VLOOKUP(1305,季財報!A:H,4)</f>
        <v>1</v>
      </c>
      <c r="E667" s="18">
        <f>VLOOKUP(1305,季財報!A:H,5)</f>
        <v>0</v>
      </c>
      <c r="F667" s="18">
        <f>VLOOKUP(1305,季財報!A:H,6)</f>
        <v>1</v>
      </c>
      <c r="G667" s="18">
        <f>VLOOKUP(1305,季財報!A:H,7)</f>
        <v>0</v>
      </c>
      <c r="N667" s="20">
        <f t="shared" si="10"/>
        <v>2</v>
      </c>
    </row>
    <row r="668" spans="1:14">
      <c r="A668" s="308" t="str">
        <f>HYPERLINK("http://www.wantgoo.com/stock/chart.aspx?stockno=8222","8222")</f>
        <v>8222</v>
      </c>
      <c r="C668" s="18">
        <f>VLOOKUP(8222,季財報!A:H,3)</f>
        <v>1</v>
      </c>
      <c r="D668" s="18">
        <f>VLOOKUP(8222,季財報!A:H,4)</f>
        <v>1</v>
      </c>
      <c r="E668" s="18">
        <f>VLOOKUP(8222,季財報!A:H,5)</f>
        <v>0</v>
      </c>
      <c r="F668" s="18">
        <f>VLOOKUP(8222,季財報!A:H,6)</f>
        <v>1</v>
      </c>
      <c r="G668" s="18">
        <f>VLOOKUP(8222,季財報!A:H,7)</f>
        <v>0</v>
      </c>
      <c r="N668" s="20">
        <f t="shared" si="10"/>
        <v>3</v>
      </c>
    </row>
    <row r="669" spans="1:14">
      <c r="A669" s="307" t="str">
        <f>HYPERLINK("http://www.wantgoo.com/stock/chart.aspx?stockno=2489","2489")</f>
        <v>2489</v>
      </c>
      <c r="C669" s="18">
        <f>VLOOKUP(2489,季財報!A:H,3)</f>
        <v>0</v>
      </c>
      <c r="D669" s="18">
        <f>VLOOKUP(2489,季財報!A:H,4)</f>
        <v>1</v>
      </c>
      <c r="E669" s="18">
        <f>VLOOKUP(2489,季財報!A:H,5)</f>
        <v>1</v>
      </c>
      <c r="F669" s="18">
        <f>VLOOKUP(2489,季財報!A:H,6)</f>
        <v>0</v>
      </c>
      <c r="G669" s="18">
        <f>VLOOKUP(2489,季財報!A:H,7)</f>
        <v>0</v>
      </c>
      <c r="N669" s="20">
        <f t="shared" si="10"/>
        <v>2</v>
      </c>
    </row>
    <row r="670" spans="1:14">
      <c r="A670" s="307" t="str">
        <f>HYPERLINK("http://www.wantgoo.com/stock/chart.aspx?stockno=6404","6404")</f>
        <v>6404</v>
      </c>
      <c r="C670" s="18">
        <f>VLOOKUP(6404,季財報!A:H,3)</f>
        <v>0</v>
      </c>
      <c r="D670" s="18">
        <f>VLOOKUP(6404,季財報!A:H,4)</f>
        <v>0</v>
      </c>
      <c r="E670" s="18">
        <f>VLOOKUP(6404,季財報!A:H,5)</f>
        <v>1</v>
      </c>
      <c r="F670" s="18">
        <f>VLOOKUP(6404,季財報!A:H,6)</f>
        <v>0</v>
      </c>
      <c r="G670" s="18">
        <f>VLOOKUP(6404,季財報!A:H,7)</f>
        <v>0</v>
      </c>
      <c r="N670" s="20">
        <f t="shared" si="10"/>
        <v>1</v>
      </c>
    </row>
    <row r="671" spans="1:14">
      <c r="A671" s="308" t="str">
        <f>HYPERLINK("http://www.wantgoo.com/stock/chart.aspx?stockno=8908","8908")</f>
        <v>8908</v>
      </c>
      <c r="C671" s="18">
        <f>VLOOKUP(8908,季財報!A:H,3)</f>
        <v>0</v>
      </c>
      <c r="D671" s="18">
        <f>VLOOKUP(8908,季財報!A:H,4)</f>
        <v>0</v>
      </c>
      <c r="E671" s="18">
        <f>VLOOKUP(8908,季財報!A:H,5)</f>
        <v>1</v>
      </c>
      <c r="F671" s="18">
        <f>VLOOKUP(8908,季財報!A:H,6)</f>
        <v>1</v>
      </c>
      <c r="G671" s="18">
        <f>VLOOKUP(8908,季財報!A:H,7)</f>
        <v>0</v>
      </c>
      <c r="N671" s="20">
        <f t="shared" si="10"/>
        <v>2</v>
      </c>
    </row>
    <row r="672" spans="1:14">
      <c r="A672" s="308" t="str">
        <f>HYPERLINK("http://www.wantgoo.com/stock/chart.aspx?stockno=3169","3169")</f>
        <v>3169</v>
      </c>
      <c r="C672" s="18">
        <f>VLOOKUP(3169,季財報!A:H,3)</f>
        <v>0</v>
      </c>
      <c r="D672" s="18">
        <f>VLOOKUP(3169,季財報!A:H,4)</f>
        <v>0</v>
      </c>
      <c r="E672" s="18">
        <f>VLOOKUP(3169,季財報!A:H,5)</f>
        <v>0</v>
      </c>
      <c r="F672" s="18">
        <f>VLOOKUP(3169,季財報!A:H,6)</f>
        <v>1</v>
      </c>
      <c r="G672" s="18">
        <f>VLOOKUP(3169,季財報!A:H,7)</f>
        <v>0</v>
      </c>
      <c r="N672" s="20">
        <f t="shared" si="10"/>
        <v>1</v>
      </c>
    </row>
    <row r="673" spans="1:14">
      <c r="A673" s="307" t="str">
        <f>HYPERLINK("http://www.wantgoo.com/stock/chart.aspx?stockno=1451","1451")</f>
        <v>1451</v>
      </c>
      <c r="C673" s="18">
        <f>VLOOKUP(1451,季財報!A:H,3)</f>
        <v>1</v>
      </c>
      <c r="D673" s="18">
        <f>VLOOKUP(1451,季財報!A:H,4)</f>
        <v>1</v>
      </c>
      <c r="E673" s="18">
        <f>VLOOKUP(1451,季財報!A:H,5)</f>
        <v>0</v>
      </c>
      <c r="F673" s="18">
        <f>VLOOKUP(1451,季財報!A:H,6)</f>
        <v>1</v>
      </c>
      <c r="G673" s="18">
        <f>VLOOKUP(1451,季財報!A:H,7)</f>
        <v>0</v>
      </c>
      <c r="N673" s="20">
        <f t="shared" si="10"/>
        <v>3</v>
      </c>
    </row>
    <row r="674" spans="1:14">
      <c r="A674" s="308" t="str">
        <f>HYPERLINK("http://www.wantgoo.com/stock/chart.aspx?stockno=3293","3293")</f>
        <v>3293</v>
      </c>
      <c r="C674" s="18">
        <f>VLOOKUP(3293,季財報!A:H,3)</f>
        <v>1</v>
      </c>
      <c r="D674" s="18">
        <f>VLOOKUP(3293,季財報!A:H,4)</f>
        <v>1</v>
      </c>
      <c r="E674" s="18">
        <f>VLOOKUP(3293,季財報!A:H,5)</f>
        <v>2</v>
      </c>
      <c r="F674" s="18">
        <f>VLOOKUP(3293,季財報!A:H,6)</f>
        <v>1</v>
      </c>
      <c r="G674" s="18">
        <f>VLOOKUP(3293,季財報!A:H,7)</f>
        <v>0</v>
      </c>
      <c r="N674" s="20">
        <f t="shared" si="10"/>
        <v>5</v>
      </c>
    </row>
    <row r="675" spans="1:14">
      <c r="A675" s="308" t="str">
        <f>HYPERLINK("http://www.wantgoo.com/stock/chart.aspx?stockno=5530","5530")</f>
        <v>5530</v>
      </c>
      <c r="C675" s="18">
        <f>VLOOKUP(5530,季財報!A:H,3)</f>
        <v>0</v>
      </c>
      <c r="D675" s="18">
        <f>VLOOKUP(5530,季財報!A:H,4)</f>
        <v>1</v>
      </c>
      <c r="E675" s="18">
        <f>VLOOKUP(5530,季財報!A:H,5)</f>
        <v>0</v>
      </c>
      <c r="F675" s="18">
        <f>VLOOKUP(5530,季財報!A:H,6)</f>
        <v>1</v>
      </c>
      <c r="G675" s="18">
        <f>VLOOKUP(5530,季財報!A:H,7)</f>
        <v>0</v>
      </c>
      <c r="N675" s="20">
        <f t="shared" si="10"/>
        <v>2</v>
      </c>
    </row>
    <row r="676" spans="1:14">
      <c r="A676" s="307" t="str">
        <f>HYPERLINK("http://www.wantgoo.com/stock/chart.aspx?stockno=6282","6282")</f>
        <v>6282</v>
      </c>
      <c r="C676" s="18">
        <f>VLOOKUP(6282,季財報!A:H,3)</f>
        <v>0</v>
      </c>
      <c r="D676" s="18">
        <f>VLOOKUP(6282,季財報!A:H,4)</f>
        <v>1</v>
      </c>
      <c r="E676" s="18">
        <f>VLOOKUP(6282,季財報!A:H,5)</f>
        <v>2</v>
      </c>
      <c r="F676" s="18">
        <f>VLOOKUP(6282,季財報!A:H,6)</f>
        <v>0</v>
      </c>
      <c r="G676" s="18">
        <f>VLOOKUP(6282,季財報!A:H,7)</f>
        <v>0</v>
      </c>
      <c r="N676" s="20">
        <f t="shared" si="10"/>
        <v>3</v>
      </c>
    </row>
    <row r="677" spans="1:14">
      <c r="A677" s="308" t="str">
        <f>HYPERLINK("http://www.wantgoo.com/stock/chart.aspx?stockno=2723","2723")</f>
        <v>2723</v>
      </c>
      <c r="C677" s="18">
        <f>VLOOKUP(2723,季財報!A:H,3)</f>
        <v>1</v>
      </c>
      <c r="D677" s="18">
        <f>VLOOKUP(2723,季財報!A:H,4)</f>
        <v>1</v>
      </c>
      <c r="E677" s="18">
        <f>VLOOKUP(2723,季財報!A:H,5)</f>
        <v>2</v>
      </c>
      <c r="F677" s="18">
        <f>VLOOKUP(2723,季財報!A:H,6)</f>
        <v>1</v>
      </c>
      <c r="G677" s="18">
        <f>VLOOKUP(2723,季財報!A:H,7)</f>
        <v>0</v>
      </c>
      <c r="N677" s="20">
        <f t="shared" si="10"/>
        <v>5</v>
      </c>
    </row>
    <row r="678" spans="1:14">
      <c r="A678" s="308" t="str">
        <f>HYPERLINK("http://www.wantgoo.com/stock/chart.aspx?stockno=6107","6107")</f>
        <v>6107</v>
      </c>
      <c r="C678" s="18">
        <f>VLOOKUP(6107,季財報!A:H,3)</f>
        <v>0</v>
      </c>
      <c r="D678" s="18">
        <f>VLOOKUP(6107,季財報!A:H,4)</f>
        <v>1</v>
      </c>
      <c r="E678" s="18">
        <f>VLOOKUP(6107,季財報!A:H,5)</f>
        <v>0</v>
      </c>
      <c r="F678" s="18">
        <f>VLOOKUP(6107,季財報!A:H,6)</f>
        <v>0</v>
      </c>
      <c r="G678" s="18">
        <f>VLOOKUP(6107,季財報!A:H,7)</f>
        <v>0</v>
      </c>
      <c r="N678" s="20">
        <f t="shared" si="10"/>
        <v>1</v>
      </c>
    </row>
    <row r="679" spans="1:14">
      <c r="A679" s="308" t="str">
        <f>HYPERLINK("http://www.wantgoo.com/stock/chart.aspx?stockno=4106","4106")</f>
        <v>4106</v>
      </c>
      <c r="C679" s="18">
        <f>VLOOKUP(4106,季財報!A:H,3)</f>
        <v>0</v>
      </c>
      <c r="D679" s="18">
        <f>VLOOKUP(4106,季財報!A:H,4)</f>
        <v>0</v>
      </c>
      <c r="E679" s="18">
        <f>VLOOKUP(4106,季財報!A:H,5)</f>
        <v>0</v>
      </c>
      <c r="F679" s="18">
        <f>VLOOKUP(4106,季財報!A:H,6)</f>
        <v>1</v>
      </c>
      <c r="G679" s="18">
        <f>VLOOKUP(4106,季財報!A:H,7)</f>
        <v>0</v>
      </c>
      <c r="N679" s="20">
        <f t="shared" si="10"/>
        <v>1</v>
      </c>
    </row>
    <row r="680" spans="1:14">
      <c r="A680" s="307" t="str">
        <f>HYPERLINK("http://www.wantgoo.com/stock/chart.aspx?stockno=1216","1216")</f>
        <v>1216</v>
      </c>
      <c r="C680" s="18">
        <f>VLOOKUP(1216,季財報!A:H,3)</f>
        <v>0</v>
      </c>
      <c r="D680" s="18">
        <f>VLOOKUP(1216,季財報!A:H,4)</f>
        <v>1</v>
      </c>
      <c r="E680" s="18">
        <f>VLOOKUP(1216,季財報!A:H,5)</f>
        <v>2</v>
      </c>
      <c r="F680" s="18">
        <f>VLOOKUP(1216,季財報!A:H,6)</f>
        <v>1</v>
      </c>
      <c r="G680" s="18">
        <f>VLOOKUP(1216,季財報!A:H,7)</f>
        <v>0</v>
      </c>
      <c r="N680" s="20">
        <f t="shared" si="10"/>
        <v>4</v>
      </c>
    </row>
    <row r="681" spans="1:14">
      <c r="A681" s="307" t="str">
        <f>HYPERLINK("http://www.wantgoo.com/stock/chart.aspx?stockno=4706","4706")</f>
        <v>4706</v>
      </c>
      <c r="C681" s="18">
        <f>VLOOKUP(4706,季財報!A:H,3)</f>
        <v>1</v>
      </c>
      <c r="D681" s="18">
        <f>VLOOKUP(4706,季財報!A:H,4)</f>
        <v>1</v>
      </c>
      <c r="E681" s="18">
        <f>VLOOKUP(4706,季財報!A:H,5)</f>
        <v>1</v>
      </c>
      <c r="F681" s="18">
        <f>VLOOKUP(4706,季財報!A:H,6)</f>
        <v>1</v>
      </c>
      <c r="G681" s="18">
        <f>VLOOKUP(4706,季財報!A:H,7)</f>
        <v>0</v>
      </c>
      <c r="N681" s="20">
        <f t="shared" si="10"/>
        <v>4</v>
      </c>
    </row>
    <row r="682" spans="1:14">
      <c r="A682" s="307" t="str">
        <f>HYPERLINK("http://www.wantgoo.com/stock/chart.aspx?stockno=1308","1308")</f>
        <v>1308</v>
      </c>
      <c r="C682" s="18">
        <f>VLOOKUP(1308,季財報!A:H,3)</f>
        <v>0</v>
      </c>
      <c r="D682" s="18">
        <f>VLOOKUP(1308,季財報!A:H,4)</f>
        <v>0</v>
      </c>
      <c r="E682" s="18">
        <f>VLOOKUP(1308,季財報!A:H,5)</f>
        <v>0</v>
      </c>
      <c r="F682" s="18">
        <f>VLOOKUP(1308,季財報!A:H,6)</f>
        <v>1</v>
      </c>
      <c r="G682" s="18">
        <f>VLOOKUP(1308,季財報!A:H,7)</f>
        <v>0</v>
      </c>
      <c r="N682" s="20">
        <f t="shared" si="10"/>
        <v>1</v>
      </c>
    </row>
    <row r="683" spans="1:14">
      <c r="A683" s="308" t="str">
        <f>HYPERLINK("http://www.wantgoo.com/stock/chart.aspx?stockno=4747","4747")</f>
        <v>4747</v>
      </c>
      <c r="C683" s="18">
        <f>VLOOKUP(4747,季財報!A:H,3)</f>
        <v>0</v>
      </c>
      <c r="D683" s="18">
        <f>VLOOKUP(4747,季財報!A:H,4)</f>
        <v>1</v>
      </c>
      <c r="E683" s="18">
        <f>VLOOKUP(4747,季財報!A:H,5)</f>
        <v>0</v>
      </c>
      <c r="F683" s="18">
        <f>VLOOKUP(4747,季財報!A:H,6)</f>
        <v>1</v>
      </c>
      <c r="G683" s="18">
        <f>VLOOKUP(4747,季財報!A:H,7)</f>
        <v>0</v>
      </c>
      <c r="N683" s="20">
        <f t="shared" si="10"/>
        <v>2</v>
      </c>
    </row>
    <row r="684" spans="1:14">
      <c r="A684" s="308" t="str">
        <f>HYPERLINK("http://www.wantgoo.com/stock/chart.aspx?stockno=3218","3218")</f>
        <v>3218</v>
      </c>
      <c r="C684" s="18">
        <f>VLOOKUP(3218,季財報!A:H,3)</f>
        <v>0</v>
      </c>
      <c r="D684" s="18">
        <f>VLOOKUP(3218,季財報!A:H,4)</f>
        <v>1</v>
      </c>
      <c r="E684" s="18">
        <f>VLOOKUP(3218,季財報!A:H,5)</f>
        <v>1</v>
      </c>
      <c r="F684" s="18">
        <f>VLOOKUP(3218,季財報!A:H,6)</f>
        <v>1</v>
      </c>
      <c r="G684" s="18">
        <f>VLOOKUP(3218,季財報!A:H,7)</f>
        <v>1</v>
      </c>
      <c r="N684" s="20">
        <f t="shared" si="10"/>
        <v>4</v>
      </c>
    </row>
    <row r="685" spans="1:14">
      <c r="A685" s="308" t="str">
        <f>HYPERLINK("http://www.wantgoo.com/stock/chart.aspx?stockno=2401","2401")</f>
        <v>2401</v>
      </c>
      <c r="C685" s="18">
        <f>VLOOKUP(2401,季財報!A:H,3)</f>
        <v>0</v>
      </c>
      <c r="D685" s="18">
        <f>VLOOKUP(2401,季財報!A:H,4)</f>
        <v>0</v>
      </c>
      <c r="E685" s="18">
        <f>VLOOKUP(2401,季財報!A:H,5)</f>
        <v>0</v>
      </c>
      <c r="F685" s="18">
        <f>VLOOKUP(2401,季財報!A:H,6)</f>
        <v>0</v>
      </c>
      <c r="G685" s="18">
        <f>VLOOKUP(2401,季財報!A:H,7)</f>
        <v>0</v>
      </c>
      <c r="N685" s="20">
        <f t="shared" si="10"/>
        <v>0</v>
      </c>
    </row>
    <row r="686" spans="1:14">
      <c r="A686" s="308" t="str">
        <f>HYPERLINK("http://www.wantgoo.com/stock/chart.aspx?stockno=5102","5102")</f>
        <v>5102</v>
      </c>
      <c r="C686" s="18">
        <f>VLOOKUP(5102,季財報!A:H,3)</f>
        <v>0</v>
      </c>
      <c r="D686" s="18">
        <f>VLOOKUP(5102,季財報!A:H,4)</f>
        <v>1</v>
      </c>
      <c r="E686" s="18">
        <f>VLOOKUP(5102,季財報!A:H,5)</f>
        <v>0</v>
      </c>
      <c r="F686" s="18">
        <f>VLOOKUP(5102,季財報!A:H,6)</f>
        <v>0</v>
      </c>
      <c r="G686" s="18">
        <f>VLOOKUP(5102,季財報!A:H,7)</f>
        <v>0</v>
      </c>
      <c r="N686" s="20">
        <f t="shared" si="10"/>
        <v>1</v>
      </c>
    </row>
    <row r="687" spans="1:14">
      <c r="A687" s="308" t="str">
        <f>HYPERLINK("http://www.wantgoo.com/stock/chart.aspx?stockno=5230","5230")</f>
        <v>5230</v>
      </c>
      <c r="C687" s="18">
        <f>VLOOKUP(5230,季財報!A:H,3)</f>
        <v>0</v>
      </c>
      <c r="D687" s="18">
        <f>VLOOKUP(5230,季財報!A:H,4)</f>
        <v>1</v>
      </c>
      <c r="E687" s="18">
        <f>VLOOKUP(5230,季財報!A:H,5)</f>
        <v>1</v>
      </c>
      <c r="F687" s="18">
        <f>VLOOKUP(5230,季財報!A:H,6)</f>
        <v>1</v>
      </c>
      <c r="G687" s="18">
        <f>VLOOKUP(5230,季財報!A:H,7)</f>
        <v>0</v>
      </c>
      <c r="N687" s="20">
        <f t="shared" si="10"/>
        <v>3</v>
      </c>
    </row>
    <row r="688" spans="1:14">
      <c r="A688" s="308" t="str">
        <f>HYPERLINK("http://www.wantgoo.com/stock/chart.aspx?stockno=4129","4129")</f>
        <v>4129</v>
      </c>
      <c r="C688" s="18">
        <f>VLOOKUP(4129,季財報!A:H,3)</f>
        <v>0</v>
      </c>
      <c r="D688" s="18">
        <f>VLOOKUP(4129,季財報!A:H,4)</f>
        <v>1</v>
      </c>
      <c r="E688" s="18">
        <f>VLOOKUP(4129,季財報!A:H,5)</f>
        <v>0</v>
      </c>
      <c r="F688" s="18">
        <f>VLOOKUP(4129,季財報!A:H,6)</f>
        <v>1</v>
      </c>
      <c r="G688" s="18">
        <f>VLOOKUP(4129,季財報!A:H,7)</f>
        <v>1</v>
      </c>
      <c r="N688" s="20">
        <f t="shared" si="10"/>
        <v>3</v>
      </c>
    </row>
    <row r="689" spans="1:14">
      <c r="A689" s="307" t="str">
        <f>HYPERLINK("http://www.wantgoo.com/stock/chart.aspx?stockno=2230","2230")</f>
        <v>2230</v>
      </c>
      <c r="C689" s="18">
        <f>VLOOKUP(2230,季財報!A:H,3)</f>
        <v>0</v>
      </c>
      <c r="D689" s="18">
        <f>VLOOKUP(2230,季財報!A:H,4)</f>
        <v>1</v>
      </c>
      <c r="E689" s="18">
        <f>VLOOKUP(2230,季財報!A:H,5)</f>
        <v>0</v>
      </c>
      <c r="F689" s="18">
        <f>VLOOKUP(2230,季財報!A:H,6)</f>
        <v>0</v>
      </c>
      <c r="G689" s="18">
        <f>VLOOKUP(2230,季財報!A:H,7)</f>
        <v>0</v>
      </c>
      <c r="N689" s="20">
        <f t="shared" si="10"/>
        <v>1</v>
      </c>
    </row>
    <row r="690" spans="1:14">
      <c r="A690" s="308" t="str">
        <f>HYPERLINK("http://www.wantgoo.com/stock/chart.aspx?stockno=6138","6138")</f>
        <v>6138</v>
      </c>
      <c r="C690" s="18">
        <f>VLOOKUP(6138,季財報!A:H,3)</f>
        <v>0</v>
      </c>
      <c r="D690" s="18">
        <f>VLOOKUP(6138,季財報!A:H,4)</f>
        <v>1</v>
      </c>
      <c r="E690" s="18">
        <f>VLOOKUP(6138,季財報!A:H,5)</f>
        <v>1</v>
      </c>
      <c r="F690" s="18">
        <f>VLOOKUP(6138,季財報!A:H,6)</f>
        <v>1</v>
      </c>
      <c r="G690" s="18">
        <f>VLOOKUP(6138,季財報!A:H,7)</f>
        <v>0</v>
      </c>
      <c r="N690" s="20">
        <f t="shared" si="10"/>
        <v>3</v>
      </c>
    </row>
    <row r="691" spans="1:14">
      <c r="A691" s="308" t="str">
        <f>HYPERLINK("http://www.wantgoo.com/stock/chart.aspx?stockno=3577","3577")</f>
        <v>3577</v>
      </c>
      <c r="C691" s="18">
        <f>VLOOKUP(3577,季財報!A:H,3)</f>
        <v>0</v>
      </c>
      <c r="D691" s="18">
        <f>VLOOKUP(3577,季財報!A:H,4)</f>
        <v>1</v>
      </c>
      <c r="E691" s="18">
        <f>VLOOKUP(3577,季財報!A:H,5)</f>
        <v>0</v>
      </c>
      <c r="F691" s="18">
        <f>VLOOKUP(3577,季財報!A:H,6)</f>
        <v>1</v>
      </c>
      <c r="G691" s="18">
        <f>VLOOKUP(3577,季財報!A:H,7)</f>
        <v>0</v>
      </c>
      <c r="N691" s="20">
        <f t="shared" si="10"/>
        <v>2</v>
      </c>
    </row>
    <row r="692" spans="1:14">
      <c r="A692" s="308" t="str">
        <f>HYPERLINK("http://www.wantgoo.com/stock/chart.aspx?stockno=9940","9940")</f>
        <v>9940</v>
      </c>
      <c r="C692" s="18">
        <f>VLOOKUP(9940,季財報!A:H,3)</f>
        <v>0</v>
      </c>
      <c r="D692" s="18">
        <f>VLOOKUP(9940,季財報!A:H,4)</f>
        <v>1</v>
      </c>
      <c r="E692" s="18">
        <f>VLOOKUP(9940,季財報!A:H,5)</f>
        <v>0</v>
      </c>
      <c r="F692" s="18">
        <f>VLOOKUP(9940,季財報!A:H,6)</f>
        <v>1</v>
      </c>
      <c r="G692" s="18">
        <f>VLOOKUP(9940,季財報!A:H,7)</f>
        <v>0</v>
      </c>
      <c r="N692" s="20">
        <f t="shared" si="10"/>
        <v>2</v>
      </c>
    </row>
    <row r="693" spans="1:14">
      <c r="A693" s="307" t="str">
        <f>HYPERLINK("http://www.wantgoo.com/stock/chart.aspx?stockno=2482","2482")</f>
        <v>2482</v>
      </c>
      <c r="C693" s="18">
        <f>VLOOKUP(2482,季財報!A:H,3)</f>
        <v>1</v>
      </c>
      <c r="D693" s="18">
        <f>VLOOKUP(2482,季財報!A:H,4)</f>
        <v>1</v>
      </c>
      <c r="E693" s="18">
        <f>VLOOKUP(2482,季財報!A:H,5)</f>
        <v>2</v>
      </c>
      <c r="F693" s="18">
        <f>VLOOKUP(2482,季財報!A:H,6)</f>
        <v>1</v>
      </c>
      <c r="G693" s="18">
        <f>VLOOKUP(2482,季財報!A:H,7)</f>
        <v>1</v>
      </c>
      <c r="N693" s="20">
        <f t="shared" si="10"/>
        <v>6</v>
      </c>
    </row>
    <row r="694" spans="1:14">
      <c r="A694" s="308" t="str">
        <f>HYPERLINK("http://www.wantgoo.com/stock/chart.aspx?stockno=9926","9926")</f>
        <v>9926</v>
      </c>
      <c r="C694" s="18">
        <f>VLOOKUP(9926,季財報!A:H,3)</f>
        <v>0</v>
      </c>
      <c r="D694" s="18">
        <f>VLOOKUP(9926,季財報!A:H,4)</f>
        <v>1</v>
      </c>
      <c r="E694" s="18">
        <f>VLOOKUP(9926,季財報!A:H,5)</f>
        <v>0</v>
      </c>
      <c r="F694" s="18">
        <f>VLOOKUP(9926,季財報!A:H,6)</f>
        <v>1</v>
      </c>
      <c r="G694" s="18">
        <f>VLOOKUP(9926,季財報!A:H,7)</f>
        <v>0</v>
      </c>
      <c r="N694" s="20">
        <f t="shared" si="10"/>
        <v>2</v>
      </c>
    </row>
    <row r="695" spans="1:14">
      <c r="A695" s="308" t="str">
        <f>HYPERLINK("http://www.wantgoo.com/stock/chart.aspx?stockno=3021","3021")</f>
        <v>3021</v>
      </c>
      <c r="C695" s="18">
        <f>VLOOKUP(3021,季財報!A:H,3)</f>
        <v>1</v>
      </c>
      <c r="D695" s="18">
        <f>VLOOKUP(3021,季財報!A:H,4)</f>
        <v>1</v>
      </c>
      <c r="E695" s="18">
        <f>VLOOKUP(3021,季財報!A:H,5)</f>
        <v>0</v>
      </c>
      <c r="F695" s="18">
        <f>VLOOKUP(3021,季財報!A:H,6)</f>
        <v>1</v>
      </c>
      <c r="G695" s="18">
        <f>VLOOKUP(3021,季財報!A:H,7)</f>
        <v>0</v>
      </c>
      <c r="N695" s="20">
        <f t="shared" si="10"/>
        <v>3</v>
      </c>
    </row>
    <row r="696" spans="1:14">
      <c r="A696" s="308" t="str">
        <f>HYPERLINK("http://www.wantgoo.com/stock/chart.aspx?stockno=5443","5443")</f>
        <v>5443</v>
      </c>
      <c r="C696" s="18">
        <f>VLOOKUP(5443,季財報!A:H,3)</f>
        <v>1</v>
      </c>
      <c r="D696" s="18">
        <f>VLOOKUP(5443,季財報!A:H,4)</f>
        <v>1</v>
      </c>
      <c r="E696" s="18">
        <f>VLOOKUP(5443,季財報!A:H,5)</f>
        <v>0</v>
      </c>
      <c r="F696" s="18">
        <f>VLOOKUP(5443,季財報!A:H,6)</f>
        <v>1</v>
      </c>
      <c r="G696" s="18">
        <f>VLOOKUP(5443,季財報!A:H,7)</f>
        <v>1</v>
      </c>
      <c r="N696" s="20">
        <f t="shared" si="10"/>
        <v>4</v>
      </c>
    </row>
    <row r="697" spans="1:14">
      <c r="A697" s="308" t="str">
        <f>HYPERLINK("http://www.wantgoo.com/stock/chart.aspx?stockno=3232","3232")</f>
        <v>3232</v>
      </c>
      <c r="C697" s="18">
        <f>VLOOKUP(3232,季財報!A:H,3)</f>
        <v>0</v>
      </c>
      <c r="D697" s="18">
        <f>VLOOKUP(3232,季財報!A:H,4)</f>
        <v>0</v>
      </c>
      <c r="E697" s="18">
        <f>VLOOKUP(3232,季財報!A:H,5)</f>
        <v>0</v>
      </c>
      <c r="F697" s="18">
        <f>VLOOKUP(3232,季財報!A:H,6)</f>
        <v>1</v>
      </c>
      <c r="G697" s="18">
        <f>VLOOKUP(3232,季財報!A:H,7)</f>
        <v>0</v>
      </c>
      <c r="N697" s="20">
        <f t="shared" si="10"/>
        <v>1</v>
      </c>
    </row>
    <row r="698" spans="1:14">
      <c r="A698" s="308" t="str">
        <f>HYPERLINK("http://www.wantgoo.com/stock/chart.aspx?stockno=1434","1434")</f>
        <v>1434</v>
      </c>
      <c r="C698" s="18">
        <f>VLOOKUP(1434,季財報!A:H,3)</f>
        <v>0</v>
      </c>
      <c r="D698" s="18">
        <f>VLOOKUP(1434,季財報!A:H,4)</f>
        <v>1</v>
      </c>
      <c r="E698" s="18">
        <f>VLOOKUP(1434,季財報!A:H,5)</f>
        <v>0</v>
      </c>
      <c r="F698" s="18">
        <f>VLOOKUP(1434,季財報!A:H,6)</f>
        <v>1</v>
      </c>
      <c r="G698" s="18">
        <f>VLOOKUP(1434,季財報!A:H,7)</f>
        <v>0</v>
      </c>
      <c r="N698" s="20">
        <f t="shared" si="10"/>
        <v>2</v>
      </c>
    </row>
    <row r="699" spans="1:14">
      <c r="A699" s="307" t="str">
        <f>HYPERLINK("http://www.wantgoo.com/stock/chart.aspx?stockno=4433","4433")</f>
        <v>4433</v>
      </c>
      <c r="C699" s="18">
        <f>VLOOKUP(4433,季財報!A:H,3)</f>
        <v>0</v>
      </c>
      <c r="D699" s="18">
        <f>VLOOKUP(4433,季財報!A:H,4)</f>
        <v>1</v>
      </c>
      <c r="E699" s="18">
        <f>VLOOKUP(4433,季財報!A:H,5)</f>
        <v>0</v>
      </c>
      <c r="F699" s="18">
        <f>VLOOKUP(4433,季財報!A:H,6)</f>
        <v>1</v>
      </c>
      <c r="G699" s="18">
        <f>VLOOKUP(4433,季財報!A:H,7)</f>
        <v>0</v>
      </c>
      <c r="N699" s="20">
        <f t="shared" si="10"/>
        <v>2</v>
      </c>
    </row>
    <row r="700" spans="1:14">
      <c r="A700" s="307" t="str">
        <f>HYPERLINK("http://www.wantgoo.com/stock/chart.aspx?stockno=3324","3324")</f>
        <v>3324</v>
      </c>
      <c r="C700" s="18">
        <f>VLOOKUP(3324,季財報!A:H,3)</f>
        <v>1</v>
      </c>
      <c r="D700" s="18">
        <f>VLOOKUP(3324,季財報!A:H,4)</f>
        <v>1</v>
      </c>
      <c r="E700" s="18">
        <f>VLOOKUP(3324,季財報!A:H,5)</f>
        <v>2</v>
      </c>
      <c r="F700" s="18">
        <f>VLOOKUP(3324,季財報!A:H,6)</f>
        <v>0</v>
      </c>
      <c r="G700" s="18">
        <f>VLOOKUP(3324,季財報!A:H,7)</f>
        <v>0</v>
      </c>
      <c r="N700" s="20">
        <f t="shared" si="10"/>
        <v>4</v>
      </c>
    </row>
    <row r="701" spans="1:14">
      <c r="A701" s="307" t="str">
        <f>HYPERLINK("http://www.wantgoo.com/stock/chart.aspx?stockno=9931","9931")</f>
        <v>9931</v>
      </c>
      <c r="C701" s="18">
        <f>VLOOKUP(9931,季財報!A:H,3)</f>
        <v>0</v>
      </c>
      <c r="D701" s="18">
        <f>VLOOKUP(9931,季財報!A:H,4)</f>
        <v>1</v>
      </c>
      <c r="E701" s="18">
        <f>VLOOKUP(9931,季財報!A:H,5)</f>
        <v>0</v>
      </c>
      <c r="F701" s="18">
        <f>VLOOKUP(9931,季財報!A:H,6)</f>
        <v>1</v>
      </c>
      <c r="G701" s="18">
        <f>VLOOKUP(9931,季財報!A:H,7)</f>
        <v>0</v>
      </c>
      <c r="N701" s="20">
        <f t="shared" si="10"/>
        <v>2</v>
      </c>
    </row>
    <row r="702" spans="1:14">
      <c r="A702" s="308" t="str">
        <f>HYPERLINK("http://www.wantgoo.com/stock/chart.aspx?stockno=8423","8423")</f>
        <v>8423</v>
      </c>
      <c r="C702" s="18">
        <f>VLOOKUP(8423,季財報!A:H,3)</f>
        <v>1</v>
      </c>
      <c r="D702" s="18">
        <f>VLOOKUP(8423,季財報!A:H,4)</f>
        <v>1</v>
      </c>
      <c r="E702" s="18">
        <f>VLOOKUP(8423,季財報!A:H,5)</f>
        <v>0</v>
      </c>
      <c r="F702" s="18">
        <f>VLOOKUP(8423,季財報!A:H,6)</f>
        <v>1</v>
      </c>
      <c r="G702" s="18">
        <f>VLOOKUP(8423,季財報!A:H,7)</f>
        <v>0</v>
      </c>
      <c r="N702" s="20">
        <f t="shared" si="10"/>
        <v>3</v>
      </c>
    </row>
    <row r="703" spans="1:14">
      <c r="A703" s="308" t="str">
        <f>HYPERLINK("http://www.wantgoo.com/stock/chart.aspx?stockno=3094","3094")</f>
        <v>3094</v>
      </c>
      <c r="C703" s="18">
        <f>VLOOKUP(3094,季財報!A:H,3)</f>
        <v>1</v>
      </c>
      <c r="D703" s="18">
        <f>VLOOKUP(3094,季財報!A:H,4)</f>
        <v>1</v>
      </c>
      <c r="E703" s="18">
        <f>VLOOKUP(3094,季財報!A:H,5)</f>
        <v>0</v>
      </c>
      <c r="F703" s="18">
        <f>VLOOKUP(3094,季財報!A:H,6)</f>
        <v>1</v>
      </c>
      <c r="G703" s="18">
        <f>VLOOKUP(3094,季財報!A:H,7)</f>
        <v>1</v>
      </c>
      <c r="N703" s="20">
        <f t="shared" si="10"/>
        <v>4</v>
      </c>
    </row>
    <row r="704" spans="1:14">
      <c r="A704" s="307" t="str">
        <f>HYPERLINK("http://www.wantgoo.com/stock/chart.aspx?stockno=8261","8261")</f>
        <v>8261</v>
      </c>
      <c r="C704" s="18">
        <f>VLOOKUP(8261,季財報!A:H,3)</f>
        <v>0</v>
      </c>
      <c r="D704" s="18">
        <f>VLOOKUP(8261,季財報!A:H,4)</f>
        <v>1</v>
      </c>
      <c r="E704" s="18">
        <f>VLOOKUP(8261,季財報!A:H,5)</f>
        <v>1</v>
      </c>
      <c r="F704" s="18">
        <f>VLOOKUP(8261,季財報!A:H,6)</f>
        <v>1</v>
      </c>
      <c r="G704" s="18">
        <f>VLOOKUP(8261,季財報!A:H,7)</f>
        <v>0</v>
      </c>
      <c r="N704" s="20">
        <f t="shared" si="10"/>
        <v>3</v>
      </c>
    </row>
    <row r="705" spans="1:14">
      <c r="A705" s="308" t="str">
        <f>HYPERLINK("http://www.wantgoo.com/stock/chart.aspx?stockno=6231","6231")</f>
        <v>6231</v>
      </c>
      <c r="C705" s="18">
        <f>VLOOKUP(6231,季財報!A:H,3)</f>
        <v>0</v>
      </c>
      <c r="D705" s="18">
        <f>VLOOKUP(6231,季財報!A:H,4)</f>
        <v>0</v>
      </c>
      <c r="E705" s="18">
        <f>VLOOKUP(6231,季財報!A:H,5)</f>
        <v>1</v>
      </c>
      <c r="F705" s="18">
        <f>VLOOKUP(6231,季財報!A:H,6)</f>
        <v>1</v>
      </c>
      <c r="G705" s="18">
        <f>VLOOKUP(6231,季財報!A:H,7)</f>
        <v>0</v>
      </c>
      <c r="N705" s="20">
        <f t="shared" si="10"/>
        <v>2</v>
      </c>
    </row>
    <row r="706" spans="1:14">
      <c r="A706" s="307" t="str">
        <f>HYPERLINK("http://www.wantgoo.com/stock/chart.aspx?stockno=9937","9937")</f>
        <v>9937</v>
      </c>
      <c r="C706" s="18">
        <f>VLOOKUP(9937,季財報!A:H,3)</f>
        <v>0</v>
      </c>
      <c r="D706" s="18">
        <f>VLOOKUP(9937,季財報!A:H,4)</f>
        <v>1</v>
      </c>
      <c r="E706" s="18">
        <f>VLOOKUP(9937,季財報!A:H,5)</f>
        <v>2</v>
      </c>
      <c r="F706" s="18">
        <f>VLOOKUP(9937,季財報!A:H,6)</f>
        <v>0</v>
      </c>
      <c r="G706" s="18">
        <f>VLOOKUP(9937,季財報!A:H,7)</f>
        <v>0</v>
      </c>
      <c r="N706" s="20">
        <f t="shared" si="10"/>
        <v>3</v>
      </c>
    </row>
    <row r="707" spans="1:14">
      <c r="A707" s="308" t="str">
        <f>HYPERLINK("http://www.wantgoo.com/stock/chart.aspx?stockno=2221","2221")</f>
        <v>2221</v>
      </c>
      <c r="C707" s="18">
        <f>VLOOKUP(2221,季財報!A:H,3)</f>
        <v>0</v>
      </c>
      <c r="D707" s="18">
        <f>VLOOKUP(2221,季財報!A:H,4)</f>
        <v>1</v>
      </c>
      <c r="E707" s="18">
        <f>VLOOKUP(2221,季財報!A:H,5)</f>
        <v>0</v>
      </c>
      <c r="F707" s="18">
        <f>VLOOKUP(2221,季財報!A:H,6)</f>
        <v>0</v>
      </c>
      <c r="G707" s="18">
        <f>VLOOKUP(2221,季財報!A:H,7)</f>
        <v>0</v>
      </c>
      <c r="N707" s="20">
        <f t="shared" si="10"/>
        <v>1</v>
      </c>
    </row>
    <row r="708" spans="1:14">
      <c r="A708" s="307" t="str">
        <f>HYPERLINK("http://www.wantgoo.com/stock/chart.aspx?stockno=9908","9908")</f>
        <v>9908</v>
      </c>
      <c r="C708" s="18">
        <f>VLOOKUP(9908,季財報!A:H,3)</f>
        <v>1</v>
      </c>
      <c r="D708" s="18">
        <f>VLOOKUP(9908,季財報!A:H,4)</f>
        <v>1</v>
      </c>
      <c r="E708" s="18">
        <f>VLOOKUP(9908,季財報!A:H,5)</f>
        <v>1</v>
      </c>
      <c r="F708" s="18">
        <f>VLOOKUP(9908,季財報!A:H,6)</f>
        <v>1</v>
      </c>
      <c r="G708" s="18">
        <f>VLOOKUP(9908,季財報!A:H,7)</f>
        <v>0</v>
      </c>
      <c r="N708" s="20">
        <f t="shared" ref="N708:N737" si="11">SUM(C708:M708)</f>
        <v>4</v>
      </c>
    </row>
    <row r="709" spans="1:14">
      <c r="A709" s="308" t="str">
        <f>HYPERLINK("http://www.wantgoo.com/stock/chart.aspx?stockno=3068","3068")</f>
        <v>3068</v>
      </c>
      <c r="C709" s="18">
        <f>VLOOKUP(3068,季財報!A:H,3)</f>
        <v>1</v>
      </c>
      <c r="D709" s="18">
        <f>VLOOKUP(3068,季財報!A:H,4)</f>
        <v>1</v>
      </c>
      <c r="E709" s="18">
        <f>VLOOKUP(3068,季財報!A:H,5)</f>
        <v>2</v>
      </c>
      <c r="F709" s="18">
        <f>VLOOKUP(3068,季財報!A:H,6)</f>
        <v>1</v>
      </c>
      <c r="G709" s="18">
        <f>VLOOKUP(3068,季財報!A:H,7)</f>
        <v>0</v>
      </c>
      <c r="N709" s="20">
        <f t="shared" si="11"/>
        <v>5</v>
      </c>
    </row>
    <row r="710" spans="1:14">
      <c r="A710" s="308" t="str">
        <f>HYPERLINK("http://www.wantgoo.com/stock/chart.aspx?stockno=8921","8921")</f>
        <v>8921</v>
      </c>
      <c r="C710" s="18">
        <f>VLOOKUP(8921,季財報!A:H,3)</f>
        <v>0</v>
      </c>
      <c r="D710" s="18">
        <f>VLOOKUP(8921,季財報!A:H,4)</f>
        <v>1</v>
      </c>
      <c r="E710" s="18">
        <f>VLOOKUP(8921,季財報!A:H,5)</f>
        <v>1</v>
      </c>
      <c r="F710" s="18">
        <f>VLOOKUP(8921,季財報!A:H,6)</f>
        <v>1</v>
      </c>
      <c r="G710" s="18">
        <f>VLOOKUP(8921,季財報!A:H,7)</f>
        <v>0</v>
      </c>
      <c r="N710" s="20">
        <f t="shared" si="11"/>
        <v>3</v>
      </c>
    </row>
    <row r="711" spans="1:14">
      <c r="A711" s="307" t="str">
        <f>HYPERLINK("http://www.wantgoo.com/stock/chart.aspx?stockno=1325","1325")</f>
        <v>1325</v>
      </c>
      <c r="C711" s="18">
        <f>VLOOKUP(1325,季財報!A:H,3)</f>
        <v>1</v>
      </c>
      <c r="D711" s="18">
        <f>VLOOKUP(1325,季財報!A:H,4)</f>
        <v>1</v>
      </c>
      <c r="E711" s="18">
        <f>VLOOKUP(1325,季財報!A:H,5)</f>
        <v>0</v>
      </c>
      <c r="F711" s="18">
        <f>VLOOKUP(1325,季財報!A:H,6)</f>
        <v>1</v>
      </c>
      <c r="G711" s="18">
        <f>VLOOKUP(1325,季財報!A:H,7)</f>
        <v>0</v>
      </c>
      <c r="N711" s="20">
        <f t="shared" si="11"/>
        <v>3</v>
      </c>
    </row>
    <row r="712" spans="1:14">
      <c r="A712" s="307" t="str">
        <f>HYPERLINK("http://www.wantgoo.com/stock/chart.aspx?stockno=8069","8069")</f>
        <v>8069</v>
      </c>
      <c r="C712" s="18">
        <f>VLOOKUP(8069,季財報!A:H,3)</f>
        <v>1</v>
      </c>
      <c r="D712" s="18">
        <f>VLOOKUP(8069,季財報!A:H,4)</f>
        <v>1</v>
      </c>
      <c r="E712" s="18">
        <f>VLOOKUP(8069,季財報!A:H,5)</f>
        <v>0</v>
      </c>
      <c r="F712" s="18">
        <f>VLOOKUP(8069,季財報!A:H,6)</f>
        <v>1</v>
      </c>
      <c r="G712" s="18">
        <f>VLOOKUP(8069,季財報!A:H,7)</f>
        <v>0</v>
      </c>
      <c r="N712" s="20">
        <f t="shared" si="11"/>
        <v>3</v>
      </c>
    </row>
    <row r="713" spans="1:14">
      <c r="A713" s="308" t="str">
        <f>HYPERLINK("http://www.wantgoo.com/stock/chart.aspx?stockno=2726","2726")</f>
        <v>2726</v>
      </c>
      <c r="C713" s="18">
        <f>VLOOKUP(2726,季財報!A:H,3)</f>
        <v>1</v>
      </c>
      <c r="D713" s="18">
        <f>VLOOKUP(2726,季財報!A:H,4)</f>
        <v>1</v>
      </c>
      <c r="E713" s="18">
        <f>VLOOKUP(2726,季財報!A:H,5)</f>
        <v>2</v>
      </c>
      <c r="F713" s="18">
        <f>VLOOKUP(2726,季財報!A:H,6)</f>
        <v>1</v>
      </c>
      <c r="G713" s="18">
        <f>VLOOKUP(2726,季財報!A:H,7)</f>
        <v>0</v>
      </c>
      <c r="N713" s="20">
        <f t="shared" si="11"/>
        <v>5</v>
      </c>
    </row>
    <row r="714" spans="1:14">
      <c r="A714" s="307" t="str">
        <f>HYPERLINK("http://www.wantgoo.com/stock/chart.aspx?stockno=9918","9918")</f>
        <v>9918</v>
      </c>
      <c r="C714" s="18">
        <f>VLOOKUP(9918,季財報!A:H,3)</f>
        <v>0</v>
      </c>
      <c r="D714" s="18">
        <f>VLOOKUP(9918,季財報!A:H,4)</f>
        <v>1</v>
      </c>
      <c r="E714" s="18">
        <f>VLOOKUP(9918,季財報!A:H,5)</f>
        <v>0</v>
      </c>
      <c r="F714" s="18">
        <f>VLOOKUP(9918,季財報!A:H,6)</f>
        <v>1</v>
      </c>
      <c r="G714" s="18">
        <f>VLOOKUP(9918,季財報!A:H,7)</f>
        <v>0</v>
      </c>
      <c r="N714" s="20">
        <f t="shared" si="11"/>
        <v>2</v>
      </c>
    </row>
    <row r="715" spans="1:14">
      <c r="A715" s="308" t="str">
        <f>HYPERLINK("http://www.wantgoo.com/stock/chart.aspx?stockno=1533","1533")</f>
        <v>1533</v>
      </c>
      <c r="C715" s="18">
        <f>VLOOKUP(1533,季財報!A:H,3)</f>
        <v>1</v>
      </c>
      <c r="D715" s="18">
        <f>VLOOKUP(1533,季財報!A:H,4)</f>
        <v>1</v>
      </c>
      <c r="E715" s="18">
        <f>VLOOKUP(1533,季財報!A:H,5)</f>
        <v>0</v>
      </c>
      <c r="F715" s="18">
        <f>VLOOKUP(1533,季財報!A:H,6)</f>
        <v>1</v>
      </c>
      <c r="G715" s="18">
        <f>VLOOKUP(1533,季財報!A:H,7)</f>
        <v>0</v>
      </c>
      <c r="N715" s="20">
        <f t="shared" si="11"/>
        <v>3</v>
      </c>
    </row>
    <row r="716" spans="1:14">
      <c r="A716" s="308" t="str">
        <f>HYPERLINK("http://www.wantgoo.com/stock/chart.aspx?stockno=2712","2712")</f>
        <v>2712</v>
      </c>
      <c r="C716" s="18">
        <f>VLOOKUP(2712,季財報!A:H,3)</f>
        <v>0</v>
      </c>
      <c r="D716" s="18">
        <f>VLOOKUP(2712,季財報!A:H,4)</f>
        <v>1</v>
      </c>
      <c r="E716" s="18">
        <f>VLOOKUP(2712,季財報!A:H,5)</f>
        <v>0</v>
      </c>
      <c r="F716" s="18">
        <f>VLOOKUP(2712,季財報!A:H,6)</f>
        <v>1</v>
      </c>
      <c r="G716" s="18">
        <f>VLOOKUP(2712,季財報!A:H,7)</f>
        <v>0</v>
      </c>
      <c r="N716" s="20">
        <f t="shared" si="11"/>
        <v>2</v>
      </c>
    </row>
    <row r="717" spans="1:14">
      <c r="A717" s="308" t="str">
        <f>HYPERLINK("http://www.wantgoo.com/stock/chart.aspx?stockno=6505","6505")</f>
        <v>6505</v>
      </c>
      <c r="C717" s="18">
        <f>VLOOKUP(6505,季財報!A:H,3)</f>
        <v>0</v>
      </c>
      <c r="D717" s="18">
        <f>VLOOKUP(6505,季財報!A:H,4)</f>
        <v>1</v>
      </c>
      <c r="E717" s="18">
        <f>VLOOKUP(6505,季財報!A:H,5)</f>
        <v>0</v>
      </c>
      <c r="F717" s="18">
        <f>VLOOKUP(6505,季財報!A:H,6)</f>
        <v>1</v>
      </c>
      <c r="G717" s="18">
        <f>VLOOKUP(6505,季財報!A:H,7)</f>
        <v>0</v>
      </c>
      <c r="N717" s="20">
        <f t="shared" si="11"/>
        <v>2</v>
      </c>
    </row>
    <row r="718" spans="1:14">
      <c r="A718" s="307" t="str">
        <f>HYPERLINK("http://www.wantgoo.com/stock/chart.aspx?stockno=5212","5212")</f>
        <v>5212</v>
      </c>
      <c r="C718" s="18">
        <f>VLOOKUP(5212,季財報!A:H,3)</f>
        <v>0</v>
      </c>
      <c r="D718" s="18">
        <f>VLOOKUP(5212,季財報!A:H,4)</f>
        <v>1</v>
      </c>
      <c r="E718" s="18">
        <f>VLOOKUP(5212,季財報!A:H,5)</f>
        <v>1</v>
      </c>
      <c r="F718" s="18">
        <f>VLOOKUP(5212,季財報!A:H,6)</f>
        <v>0</v>
      </c>
      <c r="G718" s="18">
        <f>VLOOKUP(5212,季財報!A:H,7)</f>
        <v>0</v>
      </c>
      <c r="N718" s="20">
        <f t="shared" si="11"/>
        <v>2</v>
      </c>
    </row>
    <row r="719" spans="1:14">
      <c r="A719" s="307" t="str">
        <f>HYPERLINK("http://www.wantgoo.com/stock/chart.aspx?stockno=8234","8234")</f>
        <v>8234</v>
      </c>
      <c r="C719" s="18">
        <f>VLOOKUP(8234,季財報!A:H,3)</f>
        <v>0</v>
      </c>
      <c r="D719" s="18">
        <f>VLOOKUP(8234,季財報!A:H,4)</f>
        <v>1</v>
      </c>
      <c r="E719" s="18">
        <f>VLOOKUP(8234,季財報!A:H,5)</f>
        <v>0</v>
      </c>
      <c r="F719" s="18">
        <f>VLOOKUP(8234,季財報!A:H,6)</f>
        <v>1</v>
      </c>
      <c r="G719" s="18">
        <f>VLOOKUP(8234,季財報!A:H,7)</f>
        <v>0</v>
      </c>
      <c r="N719" s="20">
        <f t="shared" si="11"/>
        <v>2</v>
      </c>
    </row>
    <row r="720" spans="1:14">
      <c r="A720" s="307" t="str">
        <f>HYPERLINK("http://www.wantgoo.com/stock/chart.aspx?stockno=4746","4746")</f>
        <v>4746</v>
      </c>
      <c r="C720" s="18">
        <f>VLOOKUP(4746,季財報!A:H,3)</f>
        <v>1</v>
      </c>
      <c r="D720" s="18">
        <f>VLOOKUP(4746,季財報!A:H,4)</f>
        <v>1</v>
      </c>
      <c r="E720" s="18">
        <f>VLOOKUP(4746,季財報!A:H,5)</f>
        <v>2</v>
      </c>
      <c r="F720" s="18">
        <f>VLOOKUP(4746,季財報!A:H,6)</f>
        <v>1</v>
      </c>
      <c r="G720" s="18">
        <f>VLOOKUP(4746,季財報!A:H,7)</f>
        <v>0</v>
      </c>
      <c r="N720" s="20">
        <f t="shared" si="11"/>
        <v>5</v>
      </c>
    </row>
    <row r="721" spans="1:14">
      <c r="A721" s="307" t="str">
        <f>HYPERLINK("http://www.wantgoo.com/stock/chart.aspx?stockno=1721","1721")</f>
        <v>1721</v>
      </c>
      <c r="C721" s="18">
        <f>VLOOKUP(1721,季財報!A:H,3)</f>
        <v>1</v>
      </c>
      <c r="D721" s="18">
        <f>VLOOKUP(1721,季財報!A:H,4)</f>
        <v>1</v>
      </c>
      <c r="E721" s="18">
        <f>VLOOKUP(1721,季財報!A:H,5)</f>
        <v>0</v>
      </c>
      <c r="F721" s="18">
        <f>VLOOKUP(1721,季財報!A:H,6)</f>
        <v>1</v>
      </c>
      <c r="G721" s="18">
        <f>VLOOKUP(1721,季財報!A:H,7)</f>
        <v>0</v>
      </c>
      <c r="N721" s="20">
        <f t="shared" si="11"/>
        <v>3</v>
      </c>
    </row>
    <row r="722" spans="1:14">
      <c r="A722" s="308" t="str">
        <f>HYPERLINK("http://www.wantgoo.com/stock/chart.aspx?stockno=8931","8931")</f>
        <v>8931</v>
      </c>
      <c r="C722" s="18">
        <f>VLOOKUP(8931,季財報!A:H,3)</f>
        <v>0</v>
      </c>
      <c r="D722" s="18">
        <f>VLOOKUP(8931,季財報!A:H,4)</f>
        <v>1</v>
      </c>
      <c r="E722" s="18">
        <f>VLOOKUP(8931,季財報!A:H,5)</f>
        <v>2</v>
      </c>
      <c r="F722" s="18">
        <f>VLOOKUP(8931,季財報!A:H,6)</f>
        <v>1</v>
      </c>
      <c r="G722" s="18">
        <f>VLOOKUP(8931,季財報!A:H,7)</f>
        <v>0</v>
      </c>
      <c r="N722" s="20">
        <f t="shared" si="11"/>
        <v>4</v>
      </c>
    </row>
    <row r="723" spans="1:14">
      <c r="A723" s="307" t="str">
        <f>HYPERLINK("http://www.wantgoo.com/stock/chart.aspx?stockno=5903","5903")</f>
        <v>5903</v>
      </c>
      <c r="C723" s="18">
        <f>VLOOKUP(5903,季財報!A:H,3)</f>
        <v>1</v>
      </c>
      <c r="D723" s="18">
        <f>VLOOKUP(5903,季財報!A:H,4)</f>
        <v>1</v>
      </c>
      <c r="E723" s="18">
        <f>VLOOKUP(5903,季財報!A:H,5)</f>
        <v>0</v>
      </c>
      <c r="F723" s="18">
        <f>VLOOKUP(5903,季財報!A:H,6)</f>
        <v>0</v>
      </c>
      <c r="G723" s="18">
        <f>VLOOKUP(5903,季財報!A:H,7)</f>
        <v>0</v>
      </c>
      <c r="N723" s="20">
        <f t="shared" si="11"/>
        <v>2</v>
      </c>
    </row>
    <row r="724" spans="1:14">
      <c r="A724" s="307" t="str">
        <f>HYPERLINK("http://www.wantgoo.com/stock/chart.aspx?stockno=2718","2718")</f>
        <v>2718</v>
      </c>
      <c r="C724" s="18">
        <f>VLOOKUP(2718,季財報!A:H,3)</f>
        <v>0</v>
      </c>
      <c r="D724" s="18">
        <f>VLOOKUP(2718,季財報!A:H,4)</f>
        <v>1</v>
      </c>
      <c r="E724" s="18">
        <f>VLOOKUP(2718,季財報!A:H,5)</f>
        <v>1</v>
      </c>
      <c r="F724" s="18">
        <f>VLOOKUP(2718,季財報!A:H,6)</f>
        <v>1</v>
      </c>
      <c r="G724" s="18">
        <f>VLOOKUP(2718,季財報!A:H,7)</f>
        <v>0</v>
      </c>
      <c r="N724" s="20">
        <f t="shared" si="11"/>
        <v>3</v>
      </c>
    </row>
    <row r="725" spans="1:14">
      <c r="A725" s="308" t="str">
        <f>HYPERLINK("http://www.wantgoo.com/stock/chart.aspx?stockno=1470","1470")</f>
        <v>1470</v>
      </c>
      <c r="C725" s="18">
        <f>VLOOKUP(1470,季財報!A:H,3)</f>
        <v>0</v>
      </c>
      <c r="D725" s="18">
        <f>VLOOKUP(1470,季財報!A:H,4)</f>
        <v>1</v>
      </c>
      <c r="E725" s="18">
        <f>VLOOKUP(1470,季財報!A:H,5)</f>
        <v>0</v>
      </c>
      <c r="F725" s="18">
        <f>VLOOKUP(1470,季財報!A:H,6)</f>
        <v>1</v>
      </c>
      <c r="G725" s="18">
        <f>VLOOKUP(1470,季財報!A:H,7)</f>
        <v>0</v>
      </c>
      <c r="N725" s="20">
        <f t="shared" si="11"/>
        <v>2</v>
      </c>
    </row>
    <row r="726" spans="1:14">
      <c r="A726" s="308" t="str">
        <f>HYPERLINK("http://www.wantgoo.com/stock/chart.aspx?stockno=8432","8432")</f>
        <v>8432</v>
      </c>
      <c r="C726" s="18">
        <f>VLOOKUP(8432,季財報!A:H,3)</f>
        <v>0</v>
      </c>
      <c r="D726" s="18">
        <f>VLOOKUP(8432,季財報!A:H,4)</f>
        <v>1</v>
      </c>
      <c r="E726" s="18">
        <f>VLOOKUP(8432,季財報!A:H,5)</f>
        <v>0</v>
      </c>
      <c r="F726" s="18">
        <f>VLOOKUP(8432,季財報!A:H,6)</f>
        <v>0</v>
      </c>
      <c r="G726" s="18">
        <f>VLOOKUP(8432,季財報!A:H,7)</f>
        <v>0</v>
      </c>
      <c r="N726" s="20">
        <f t="shared" si="11"/>
        <v>1</v>
      </c>
    </row>
    <row r="727" spans="1:14">
      <c r="A727" s="307" t="str">
        <f>HYPERLINK("http://www.wantgoo.com/stock/chart.aspx?stockno=3049","3049")</f>
        <v>3049</v>
      </c>
      <c r="C727" s="18">
        <f>VLOOKUP(3049,季財報!A:H,3)</f>
        <v>1</v>
      </c>
      <c r="D727" s="18">
        <f>VLOOKUP(3049,季財報!A:H,4)</f>
        <v>1</v>
      </c>
      <c r="E727" s="18">
        <f>VLOOKUP(3049,季財報!A:H,5)</f>
        <v>2</v>
      </c>
      <c r="F727" s="18">
        <f>VLOOKUP(3049,季財報!A:H,6)</f>
        <v>1</v>
      </c>
      <c r="G727" s="18">
        <f>VLOOKUP(3049,季財報!A:H,7)</f>
        <v>0</v>
      </c>
      <c r="N727" s="20">
        <f t="shared" si="11"/>
        <v>5</v>
      </c>
    </row>
    <row r="728" spans="1:14">
      <c r="A728" s="307" t="str">
        <f>HYPERLINK("http://www.wantgoo.com/stock/chart.aspx?stockno=2727","2727")</f>
        <v>2727</v>
      </c>
      <c r="C728" s="18">
        <f>VLOOKUP(2727,季財報!A:H,3)</f>
        <v>0</v>
      </c>
      <c r="D728" s="18">
        <f>VLOOKUP(2727,季財報!A:H,4)</f>
        <v>0</v>
      </c>
      <c r="E728" s="18">
        <f>VLOOKUP(2727,季財報!A:H,5)</f>
        <v>0</v>
      </c>
      <c r="F728" s="18">
        <f>VLOOKUP(2727,季財報!A:H,6)</f>
        <v>1</v>
      </c>
      <c r="G728" s="18">
        <f>VLOOKUP(2727,季財報!A:H,7)</f>
        <v>0</v>
      </c>
      <c r="N728" s="20">
        <f t="shared" si="11"/>
        <v>1</v>
      </c>
    </row>
    <row r="729" spans="1:14">
      <c r="A729" s="307" t="str">
        <f>HYPERLINK("http://www.wantgoo.com/stock/chart.aspx?stockno=8917","8917")</f>
        <v>8917</v>
      </c>
      <c r="C729" s="18">
        <f>VLOOKUP(8917,季財報!A:H,3)</f>
        <v>0</v>
      </c>
      <c r="D729" s="18">
        <f>VLOOKUP(8917,季財報!A:H,4)</f>
        <v>1</v>
      </c>
      <c r="E729" s="18">
        <f>VLOOKUP(8917,季財報!A:H,5)</f>
        <v>1</v>
      </c>
      <c r="F729" s="18">
        <f>VLOOKUP(8917,季財報!A:H,6)</f>
        <v>1</v>
      </c>
      <c r="G729" s="18">
        <f>VLOOKUP(8917,季財報!A:H,7)</f>
        <v>0</v>
      </c>
      <c r="N729" s="20">
        <f t="shared" si="11"/>
        <v>3</v>
      </c>
    </row>
    <row r="730" spans="1:14">
      <c r="A730" s="308" t="str">
        <f>HYPERLINK("http://www.wantgoo.com/stock/chart.aspx?stockno=1326","1326")</f>
        <v>1326</v>
      </c>
      <c r="C730" s="18">
        <f>VLOOKUP(1326,季財報!A:H,3)</f>
        <v>0</v>
      </c>
      <c r="D730" s="18">
        <f>VLOOKUP(1326,季財報!A:H,4)</f>
        <v>1</v>
      </c>
      <c r="E730" s="18">
        <f>VLOOKUP(1326,季財報!A:H,5)</f>
        <v>0</v>
      </c>
      <c r="F730" s="18">
        <f>VLOOKUP(1326,季財報!A:H,6)</f>
        <v>1</v>
      </c>
      <c r="G730" s="18">
        <f>VLOOKUP(1326,季財報!A:H,7)</f>
        <v>0</v>
      </c>
      <c r="N730" s="20">
        <f t="shared" si="11"/>
        <v>2</v>
      </c>
    </row>
    <row r="731" spans="1:14">
      <c r="A731" s="307" t="str">
        <f>HYPERLINK("http://www.wantgoo.com/stock/chart.aspx?stockno=3227","3227")</f>
        <v>3227</v>
      </c>
      <c r="C731" s="18">
        <f>VLOOKUP(3227,季財報!A:H,3)</f>
        <v>1</v>
      </c>
      <c r="D731" s="18">
        <f>VLOOKUP(3227,季財報!A:H,4)</f>
        <v>1</v>
      </c>
      <c r="E731" s="18">
        <f>VLOOKUP(3227,季財報!A:H,5)</f>
        <v>0</v>
      </c>
      <c r="F731" s="18">
        <f>VLOOKUP(3227,季財報!A:H,6)</f>
        <v>1</v>
      </c>
      <c r="G731" s="18">
        <f>VLOOKUP(3227,季財報!A:H,7)</f>
        <v>0</v>
      </c>
      <c r="N731" s="20">
        <f t="shared" si="11"/>
        <v>3</v>
      </c>
    </row>
    <row r="732" spans="1:14">
      <c r="A732" s="308" t="str">
        <f>HYPERLINK("http://www.wantgoo.com/stock/chart.aspx?stockno=8107","8107")</f>
        <v>8107</v>
      </c>
      <c r="C732" s="18">
        <f>VLOOKUP(8107,季財報!A:H,3)</f>
        <v>1</v>
      </c>
      <c r="D732" s="18">
        <f>VLOOKUP(8107,季財報!A:H,4)</f>
        <v>1</v>
      </c>
      <c r="E732" s="18">
        <f>VLOOKUP(8107,季財報!A:H,5)</f>
        <v>2</v>
      </c>
      <c r="F732" s="18">
        <f>VLOOKUP(8107,季財報!A:H,6)</f>
        <v>1</v>
      </c>
      <c r="G732" s="18">
        <f>VLOOKUP(8107,季財報!A:H,7)</f>
        <v>0</v>
      </c>
      <c r="N732" s="20">
        <f t="shared" si="11"/>
        <v>5</v>
      </c>
    </row>
    <row r="733" spans="1:14">
      <c r="A733" s="308" t="str">
        <f>HYPERLINK("http://www.wantgoo.com/stock/chart.aspx?stockno=5301","5301")</f>
        <v>5301</v>
      </c>
      <c r="C733" s="18">
        <f>VLOOKUP(5301,季財報!A:H,3)</f>
        <v>0</v>
      </c>
      <c r="D733" s="18">
        <f>VLOOKUP(5301,季財報!A:H,4)</f>
        <v>0</v>
      </c>
      <c r="E733" s="18">
        <f>VLOOKUP(5301,季財報!A:H,5)</f>
        <v>0</v>
      </c>
      <c r="F733" s="18">
        <f>VLOOKUP(5301,季財報!A:H,6)</f>
        <v>0</v>
      </c>
      <c r="G733" s="18">
        <f>VLOOKUP(5301,季財報!A:H,7)</f>
        <v>0</v>
      </c>
      <c r="N733" s="20">
        <f t="shared" si="11"/>
        <v>0</v>
      </c>
    </row>
    <row r="734" spans="1:14">
      <c r="A734" s="308" t="str">
        <f>HYPERLINK("http://www.wantgoo.com/stock/chart.aspx?stockno=2430","2430")</f>
        <v>2430</v>
      </c>
      <c r="C734" s="18">
        <f>VLOOKUP(2430,季財報!A:H,3)</f>
        <v>1</v>
      </c>
      <c r="D734" s="18">
        <f>VLOOKUP(2430,季財報!A:H,4)</f>
        <v>1</v>
      </c>
      <c r="E734" s="18">
        <f>VLOOKUP(2430,季財報!A:H,5)</f>
        <v>0</v>
      </c>
      <c r="F734" s="18">
        <f>VLOOKUP(2430,季財報!A:H,6)</f>
        <v>0</v>
      </c>
      <c r="G734" s="18">
        <f>VLOOKUP(2430,季財報!A:H,7)</f>
        <v>0</v>
      </c>
      <c r="N734" s="20">
        <f t="shared" si="11"/>
        <v>2</v>
      </c>
    </row>
    <row r="735" spans="1:14">
      <c r="A735" s="308" t="str">
        <f>HYPERLINK("http://www.wantgoo.com/stock/chart.aspx?stockno=3583","3583")</f>
        <v>3583</v>
      </c>
      <c r="C735" s="18">
        <f>VLOOKUP(3583,季財報!A:H,3)</f>
        <v>0</v>
      </c>
      <c r="D735" s="18">
        <f>VLOOKUP(3583,季財報!A:H,4)</f>
        <v>1</v>
      </c>
      <c r="E735" s="18">
        <f>VLOOKUP(3583,季財報!A:H,5)</f>
        <v>1</v>
      </c>
      <c r="F735" s="18">
        <f>VLOOKUP(3583,季財報!A:H,6)</f>
        <v>1</v>
      </c>
      <c r="G735" s="18">
        <f>VLOOKUP(3583,季財報!A:H,7)</f>
        <v>0</v>
      </c>
      <c r="N735" s="20">
        <f t="shared" si="11"/>
        <v>3</v>
      </c>
    </row>
    <row r="736" spans="1:14">
      <c r="A736" s="307" t="str">
        <f>HYPERLINK("http://www.wantgoo.com/stock/chart.aspx?stockno=8996","8996")</f>
        <v>8996</v>
      </c>
      <c r="C736" s="18">
        <f>VLOOKUP(8996,季財報!A:H,3)</f>
        <v>0</v>
      </c>
      <c r="D736" s="18">
        <f>VLOOKUP(8996,季財報!A:H,4)</f>
        <v>1</v>
      </c>
      <c r="E736" s="18">
        <f>VLOOKUP(8996,季財報!A:H,5)</f>
        <v>0</v>
      </c>
      <c r="F736" s="18">
        <f>VLOOKUP(8996,季財報!A:H,6)</f>
        <v>0</v>
      </c>
      <c r="G736" s="18">
        <f>VLOOKUP(8996,季財報!A:H,7)</f>
        <v>0</v>
      </c>
      <c r="N736" s="20">
        <f t="shared" si="11"/>
        <v>1</v>
      </c>
    </row>
    <row r="737" spans="1:14">
      <c r="A737" s="308" t="str">
        <f>HYPERLINK("http://www.wantgoo.com/stock/chart.aspx?stockno=4994","4994")</f>
        <v>4994</v>
      </c>
      <c r="C737" s="18">
        <f>VLOOKUP(4994,季財報!A:H,3)</f>
        <v>0</v>
      </c>
      <c r="D737" s="18">
        <f>VLOOKUP(4994,季財報!A:H,4)</f>
        <v>1</v>
      </c>
      <c r="E737" s="18">
        <f>VLOOKUP(4994,季財報!A:H,5)</f>
        <v>2</v>
      </c>
      <c r="F737" s="18">
        <f>VLOOKUP(4994,季財報!A:H,6)</f>
        <v>1</v>
      </c>
      <c r="G737" s="18">
        <f>VLOOKUP(4994,季財報!A:H,7)</f>
        <v>0</v>
      </c>
      <c r="N737" s="20">
        <f t="shared" si="11"/>
        <v>4</v>
      </c>
    </row>
  </sheetData>
  <sortState ref="A4:S737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71" r:id="rId3" name="CommandButton16"/>
    <control shapeId="2070" r:id="rId4" name="CommandButton15"/>
    <control shapeId="2069" r:id="rId5" name="CommandButton14"/>
    <control shapeId="2068" r:id="rId6" name="CommandButton13"/>
    <control shapeId="2062" r:id="rId7" name="CommandButton9"/>
    <control shapeId="2059" r:id="rId8" name="CommandButton7"/>
    <control shapeId="2053" r:id="rId9" name="CommandButton6"/>
    <control shapeId="2052" r:id="rId10" name="CommandButton5"/>
    <control shapeId="2051" r:id="rId11" name="CommandButton4"/>
    <control shapeId="2050" r:id="rId12" name="CommandButton3"/>
    <control shapeId="2049" r:id="rId13" name="CommandButton2"/>
    <control shapeId="2057" r:id="rId14" name="CommandButton1"/>
    <control shapeId="2063" r:id="rId15" name="CommandButton8"/>
    <control shapeId="2064" r:id="rId16" name="CommandButton10"/>
    <control shapeId="2065" r:id="rId17" name="CommandButton11"/>
    <control shapeId="2067" r:id="rId18" name="CommandButton1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1979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05" t="s">
        <v>2028</v>
      </c>
      <c r="C2" s="32" t="s">
        <v>2027</v>
      </c>
      <c r="D2" s="32" t="s">
        <v>1980</v>
      </c>
      <c r="E2" s="32" t="s">
        <v>1981</v>
      </c>
      <c r="F2" s="32" t="s">
        <v>1982</v>
      </c>
      <c r="G2" s="32" t="s">
        <v>1983</v>
      </c>
      <c r="H2" s="32" t="s">
        <v>2027</v>
      </c>
      <c r="I2" s="32" t="s">
        <v>1980</v>
      </c>
      <c r="J2" s="32" t="s">
        <v>1981</v>
      </c>
      <c r="K2" s="32" t="s">
        <v>1982</v>
      </c>
      <c r="L2" s="32" t="s">
        <v>1983</v>
      </c>
      <c r="M2" s="32" t="s">
        <v>2027</v>
      </c>
      <c r="N2" s="32" t="s">
        <v>1980</v>
      </c>
      <c r="O2" s="32" t="s">
        <v>1981</v>
      </c>
      <c r="P2" s="32" t="s">
        <v>1982</v>
      </c>
      <c r="Q2" s="32" t="s">
        <v>1983</v>
      </c>
    </row>
    <row r="3" spans="1:28">
      <c r="A3" s="31">
        <v>1103</v>
      </c>
      <c r="B3" s="305" t="s">
        <v>2029</v>
      </c>
      <c r="C3" s="32">
        <v>1</v>
      </c>
      <c r="D3" s="32" t="s">
        <v>1984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1984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1984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05" t="s">
        <v>2030</v>
      </c>
      <c r="C4" s="32">
        <v>2</v>
      </c>
      <c r="D4" s="32" t="s">
        <v>1985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1985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1985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05" t="s">
        <v>2031</v>
      </c>
      <c r="C5" s="32">
        <v>3</v>
      </c>
      <c r="D5" s="32" t="s">
        <v>1986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1986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1986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05" t="s">
        <v>2032</v>
      </c>
      <c r="C6" s="32">
        <v>4</v>
      </c>
      <c r="D6" s="32" t="s">
        <v>1987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1987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1987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05" t="s">
        <v>2033</v>
      </c>
      <c r="C7" s="32">
        <v>5</v>
      </c>
      <c r="D7" s="32" t="s">
        <v>1988</v>
      </c>
      <c r="E7" s="32">
        <v>118</v>
      </c>
      <c r="F7" s="154">
        <v>2125269</v>
      </c>
      <c r="G7" s="32">
        <v>2.35</v>
      </c>
      <c r="H7" s="32">
        <v>5</v>
      </c>
      <c r="I7" s="32" t="s">
        <v>1988</v>
      </c>
      <c r="J7" s="32">
        <v>118</v>
      </c>
      <c r="K7" s="154">
        <v>2127887</v>
      </c>
      <c r="L7" s="32">
        <v>2.35</v>
      </c>
      <c r="M7" s="32">
        <v>5</v>
      </c>
      <c r="N7" s="32" t="s">
        <v>1988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05" t="s">
        <v>2034</v>
      </c>
      <c r="C8" s="32">
        <v>6</v>
      </c>
      <c r="D8" s="32" t="s">
        <v>1989</v>
      </c>
      <c r="E8" s="32">
        <v>139</v>
      </c>
      <c r="F8" s="154">
        <v>3414911</v>
      </c>
      <c r="G8" s="32">
        <v>3.78</v>
      </c>
      <c r="H8" s="32">
        <v>6</v>
      </c>
      <c r="I8" s="32" t="s">
        <v>1989</v>
      </c>
      <c r="J8" s="32">
        <v>137</v>
      </c>
      <c r="K8" s="154">
        <v>3359811</v>
      </c>
      <c r="L8" s="32">
        <v>3.72</v>
      </c>
      <c r="M8" s="32">
        <v>6</v>
      </c>
      <c r="N8" s="32" t="s">
        <v>1989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05" t="s">
        <v>2035</v>
      </c>
      <c r="C9" s="32">
        <v>7</v>
      </c>
      <c r="D9" s="32" t="s">
        <v>1990</v>
      </c>
      <c r="E9" s="32">
        <v>59</v>
      </c>
      <c r="F9" s="154">
        <v>2092232</v>
      </c>
      <c r="G9" s="32">
        <v>2.31</v>
      </c>
      <c r="H9" s="32">
        <v>7</v>
      </c>
      <c r="I9" s="32" t="s">
        <v>1990</v>
      </c>
      <c r="J9" s="32">
        <v>58</v>
      </c>
      <c r="K9" s="154">
        <v>2054232</v>
      </c>
      <c r="L9" s="32">
        <v>2.27</v>
      </c>
      <c r="M9" s="32">
        <v>7</v>
      </c>
      <c r="N9" s="32" t="s">
        <v>1990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05" t="s">
        <v>2036</v>
      </c>
      <c r="C10" s="32">
        <v>8</v>
      </c>
      <c r="D10" s="32" t="s">
        <v>1991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1991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1991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05" t="s">
        <v>2037</v>
      </c>
      <c r="C11" s="32">
        <v>9</v>
      </c>
      <c r="D11" s="32" t="s">
        <v>1992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1992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1992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05" t="s">
        <v>2038</v>
      </c>
      <c r="C12" s="32">
        <v>10</v>
      </c>
      <c r="D12" s="32" t="s">
        <v>1993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1993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1993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05" t="s">
        <v>2039</v>
      </c>
      <c r="C13" s="32">
        <v>11</v>
      </c>
      <c r="D13" s="32" t="s">
        <v>1994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1994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1994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05" t="s">
        <v>2040</v>
      </c>
      <c r="C14" s="32">
        <v>12</v>
      </c>
      <c r="D14" s="32" t="s">
        <v>1995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1995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1995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05" t="s">
        <v>2041</v>
      </c>
      <c r="C15" s="32">
        <v>13</v>
      </c>
      <c r="D15" s="32" t="s">
        <v>1996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1996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1996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05" t="s">
        <v>2042</v>
      </c>
      <c r="C16" s="32">
        <v>14</v>
      </c>
      <c r="D16" s="32" t="s">
        <v>1997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1997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1997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05" t="s">
        <v>2043</v>
      </c>
      <c r="C17" s="32">
        <v>15</v>
      </c>
      <c r="D17" s="32" t="s">
        <v>1998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1998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1998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05" t="s">
        <v>2044</v>
      </c>
      <c r="C18" s="32"/>
      <c r="D18" s="32" t="s">
        <v>1999</v>
      </c>
      <c r="E18" s="154">
        <v>4571</v>
      </c>
      <c r="F18" s="154">
        <v>90220260</v>
      </c>
      <c r="G18" s="32">
        <v>100</v>
      </c>
      <c r="H18" s="32"/>
      <c r="I18" s="32" t="s">
        <v>1999</v>
      </c>
      <c r="J18" s="154">
        <v>4562</v>
      </c>
      <c r="K18" s="154">
        <v>90220260</v>
      </c>
      <c r="L18" s="32">
        <v>100</v>
      </c>
      <c r="M18" s="32"/>
      <c r="N18" s="32" t="s">
        <v>1999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05" t="s">
        <v>2045</v>
      </c>
      <c r="C19" s="32"/>
      <c r="D19" s="32" t="s">
        <v>1999</v>
      </c>
      <c r="E19" s="154">
        <v>5475</v>
      </c>
      <c r="F19" s="154">
        <v>61350880</v>
      </c>
      <c r="G19" s="32">
        <v>100</v>
      </c>
      <c r="H19" s="32"/>
      <c r="I19" s="32" t="s">
        <v>1999</v>
      </c>
      <c r="J19" s="154">
        <v>1487</v>
      </c>
      <c r="K19" s="154">
        <v>52577600</v>
      </c>
      <c r="L19" s="32">
        <v>100</v>
      </c>
      <c r="M19" s="32"/>
      <c r="N19" s="32" t="s">
        <v>1999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legacyDrawing r:id="rId26"/>
  <controls>
    <control shapeId="4113" r:id="rId27" name="CommandButton17"/>
    <control shapeId="4112" r:id="rId28" name="CommandButton16"/>
    <control shapeId="4111" r:id="rId29" name="CommandButton15"/>
    <control shapeId="4110" r:id="rId30" name="CommandButton14"/>
    <control shapeId="4109" r:id="rId31" name="CommandButton1"/>
    <control shapeId="4108" r:id="rId32" name="CommandButton13"/>
    <control shapeId="4107" r:id="rId33" name="CommandButton12"/>
    <control shapeId="4106" r:id="rId34" name="CommandButton11"/>
    <control shapeId="4105" r:id="rId35" name="CommandButton10"/>
    <control shapeId="4099" r:id="rId36" name="CommandButton4"/>
    <control shapeId="4098" r:id="rId37" name="CommandButton3"/>
    <control shapeId="4097" r:id="rId38" name="CommandButton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81" t="s">
        <v>1867</v>
      </c>
      <c r="S1" s="382"/>
      <c r="T1" s="382"/>
      <c r="U1" s="382"/>
      <c r="V1" s="383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80" t="s">
        <v>204</v>
      </c>
      <c r="C3" s="380"/>
      <c r="D3" s="380"/>
      <c r="E3" s="380"/>
      <c r="F3" s="380"/>
      <c r="G3" s="380"/>
      <c r="H3" s="380"/>
      <c r="I3" s="43"/>
      <c r="J3" s="380" t="s">
        <v>205</v>
      </c>
      <c r="K3" s="380"/>
      <c r="L3" s="380"/>
      <c r="M3" s="380"/>
      <c r="N3" s="380"/>
      <c r="O3" s="380"/>
      <c r="P3" s="380"/>
      <c r="R3" s="386" t="s">
        <v>1872</v>
      </c>
      <c r="S3" s="357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84"/>
      <c r="T7" s="384"/>
      <c r="U7" s="384"/>
      <c r="V7" s="385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80" t="s">
        <v>1869</v>
      </c>
      <c r="C14" s="380"/>
      <c r="D14" s="380"/>
      <c r="E14" s="380"/>
      <c r="F14" s="380"/>
      <c r="G14" s="380"/>
      <c r="H14" s="380"/>
      <c r="I14" s="43"/>
      <c r="J14" s="380" t="s">
        <v>206</v>
      </c>
      <c r="K14" s="380"/>
      <c r="L14" s="380"/>
      <c r="M14" s="380"/>
      <c r="N14" s="380"/>
      <c r="O14" s="380"/>
      <c r="P14" s="380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80" t="s">
        <v>1868</v>
      </c>
      <c r="C25" s="380"/>
      <c r="D25" s="380"/>
      <c r="E25" s="380"/>
      <c r="F25" s="380"/>
      <c r="G25" s="380"/>
      <c r="H25" s="380"/>
      <c r="I25" s="43"/>
      <c r="J25" s="380" t="s">
        <v>1871</v>
      </c>
      <c r="K25" s="380"/>
      <c r="L25" s="380"/>
      <c r="M25" s="380"/>
      <c r="N25" s="380"/>
      <c r="O25" s="380"/>
      <c r="P25" s="380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78" r:id="rId4" name="CommandButton7"/>
    <control shapeId="7176" r:id="rId5" name="CommandButton5"/>
    <control shapeId="7175" r:id="rId6" name="CommandButton4"/>
    <control shapeId="7174" r:id="rId7" name="CommandButton3"/>
    <control shapeId="7173" r:id="rId8" name="CommandButton2"/>
    <control shapeId="7172" r:id="rId9" name="CommandButton1"/>
    <control shapeId="7171" r:id="rId10" name="ComboBox3"/>
    <control shapeId="7170" r:id="rId11" name="ComboBox2"/>
    <control shapeId="7169" r:id="rId12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2003</v>
      </c>
      <c r="B1" s="48" t="s">
        <v>2054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05">
        <v>9962</v>
      </c>
      <c r="B2" s="305" t="s">
        <v>2008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06">
        <v>-27.06</v>
      </c>
      <c r="K2" t="s">
        <v>2046</v>
      </c>
    </row>
    <row r="3" spans="1:11" customFormat="1" hidden="1">
      <c r="A3" s="305" t="str">
        <f>HYPERLINK("http://tw.stock.yahoo.com/q/ta?s=9951","9951")</f>
        <v>9951</v>
      </c>
      <c r="B3" s="305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2047</v>
      </c>
    </row>
    <row r="4" spans="1:11" customFormat="1" hidden="1">
      <c r="A4" s="305" t="str">
        <f>HYPERLINK("http://tw.stock.yahoo.com/q/ta?s=8942","8942")</f>
        <v>8942</v>
      </c>
      <c r="B4" s="305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2047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2046</v>
      </c>
    </row>
    <row r="6" spans="1:11" customFormat="1" hidden="1">
      <c r="A6">
        <v>8255</v>
      </c>
      <c r="B6" t="s">
        <v>2005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2046</v>
      </c>
    </row>
    <row r="7" spans="1:11" customFormat="1" hidden="1">
      <c r="A7">
        <v>8109</v>
      </c>
      <c r="B7" t="s">
        <v>2023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2046</v>
      </c>
    </row>
    <row r="8" spans="1:11" customFormat="1" hidden="1">
      <c r="A8">
        <v>8099</v>
      </c>
      <c r="B8" t="s">
        <v>2024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2046</v>
      </c>
    </row>
    <row r="9" spans="1:11" customFormat="1">
      <c r="A9" s="305" t="str">
        <f>HYPERLINK("http://tw.stock.yahoo.com/q/ta?s=8086","8086")</f>
        <v>8086</v>
      </c>
      <c r="B9" s="305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2047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2046</v>
      </c>
    </row>
    <row r="11" spans="1:11" customFormat="1" hidden="1">
      <c r="A11">
        <v>8059</v>
      </c>
      <c r="B11" t="s">
        <v>2018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2046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2046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2046</v>
      </c>
    </row>
    <row r="14" spans="1:11" customFormat="1" hidden="1">
      <c r="A14">
        <v>6287</v>
      </c>
      <c r="B14" t="s">
        <v>2012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2046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2046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2046</v>
      </c>
    </row>
    <row r="17" spans="1:11" customFormat="1" hidden="1">
      <c r="A17" s="305" t="str">
        <f>HYPERLINK("http://tw.stock.yahoo.com/q/ta?s=6242","6242")</f>
        <v>6242</v>
      </c>
      <c r="B17" s="305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2047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2046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2046</v>
      </c>
    </row>
    <row r="20" spans="1:11" customFormat="1" hidden="1">
      <c r="A20">
        <v>6204</v>
      </c>
      <c r="B20" t="s">
        <v>2022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2046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2046</v>
      </c>
    </row>
    <row r="22" spans="1:11" customFormat="1" hidden="1">
      <c r="A22">
        <v>6129</v>
      </c>
      <c r="B22" t="s">
        <v>2011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2046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2046</v>
      </c>
    </row>
    <row r="24" spans="1:11" customFormat="1" hidden="1">
      <c r="A24">
        <v>6023</v>
      </c>
      <c r="B24" t="s">
        <v>2049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2046</v>
      </c>
    </row>
    <row r="25" spans="1:11" customFormat="1" hidden="1">
      <c r="A25" s="305" t="str">
        <f>HYPERLINK("http://tw.stock.yahoo.com/q/ta?s=5904","5904")</f>
        <v>5904</v>
      </c>
      <c r="B25" s="305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2047</v>
      </c>
    </row>
    <row r="26" spans="1:11" customFormat="1" hidden="1">
      <c r="A26">
        <v>5601</v>
      </c>
      <c r="B26" t="s">
        <v>2053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2046</v>
      </c>
    </row>
    <row r="27" spans="1:11" customFormat="1" hidden="1">
      <c r="A27">
        <v>5508</v>
      </c>
      <c r="B27" t="s">
        <v>2025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2046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2046</v>
      </c>
    </row>
    <row r="29" spans="1:11" customFormat="1" hidden="1">
      <c r="A29">
        <v>5460</v>
      </c>
      <c r="B29" t="s">
        <v>2021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2046</v>
      </c>
    </row>
    <row r="30" spans="1:11" customFormat="1" hidden="1">
      <c r="A30">
        <v>5432</v>
      </c>
      <c r="B30" t="s">
        <v>2016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2046</v>
      </c>
    </row>
    <row r="31" spans="1:11" customFormat="1" hidden="1">
      <c r="A31">
        <v>5356</v>
      </c>
      <c r="B31" t="s">
        <v>2013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2046</v>
      </c>
    </row>
    <row r="32" spans="1:11" customFormat="1" hidden="1">
      <c r="A32">
        <v>5349</v>
      </c>
      <c r="B32" t="s">
        <v>2020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2046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2046</v>
      </c>
    </row>
    <row r="34" spans="1:11" customFormat="1" hidden="1">
      <c r="A34" s="305" t="str">
        <f>HYPERLINK("http://tw.stock.yahoo.com/q/ta?s=5274","5274")</f>
        <v>5274</v>
      </c>
      <c r="B34" s="305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2047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2046</v>
      </c>
    </row>
    <row r="36" spans="1:11" customFormat="1" hidden="1">
      <c r="A36" s="305" t="str">
        <f>HYPERLINK("http://tw.stock.yahoo.com/q/ta?s=4974","4974")</f>
        <v>4974</v>
      </c>
      <c r="B36" s="305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2047</v>
      </c>
    </row>
    <row r="37" spans="1:11" customFormat="1" hidden="1">
      <c r="A37">
        <v>4972</v>
      </c>
      <c r="B37" t="s">
        <v>2015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2046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2046</v>
      </c>
    </row>
    <row r="39" spans="1:11" customFormat="1" hidden="1">
      <c r="A39" s="305" t="str">
        <f>HYPERLINK("http://tw.stock.yahoo.com/q/ta?s=4743","4743")</f>
        <v>4743</v>
      </c>
      <c r="B39" s="305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2047</v>
      </c>
    </row>
    <row r="40" spans="1:11" customFormat="1" hidden="1">
      <c r="A40">
        <v>4703</v>
      </c>
      <c r="B40" t="s">
        <v>2051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2046</v>
      </c>
    </row>
    <row r="41" spans="1:11" customFormat="1">
      <c r="A41" s="305" t="str">
        <f>HYPERLINK("http://tw.stock.yahoo.com/q/ta?s=4528","4528")</f>
        <v>4528</v>
      </c>
      <c r="B41" s="305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2047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2046</v>
      </c>
    </row>
    <row r="43" spans="1:11" customFormat="1" hidden="1">
      <c r="A43">
        <v>4161</v>
      </c>
      <c r="B43" t="s">
        <v>2007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2046</v>
      </c>
    </row>
    <row r="44" spans="1:11" customFormat="1" hidden="1">
      <c r="A44">
        <v>4147</v>
      </c>
      <c r="B44" t="s">
        <v>2006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2046</v>
      </c>
    </row>
    <row r="45" spans="1:11" customFormat="1" hidden="1">
      <c r="A45" s="305" t="str">
        <f>HYPERLINK("http://tw.stock.yahoo.com/q/ta?s=4128","4128")</f>
        <v>4128</v>
      </c>
      <c r="B45" s="305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2047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2046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2046</v>
      </c>
    </row>
    <row r="48" spans="1:11" customFormat="1" hidden="1">
      <c r="A48" s="305">
        <v>3675</v>
      </c>
      <c r="B48" s="305" t="s">
        <v>2010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2046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2046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2046</v>
      </c>
    </row>
    <row r="51" spans="1:11" customFormat="1" hidden="1">
      <c r="A51">
        <v>3629</v>
      </c>
      <c r="B51" t="s">
        <v>2014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2046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2046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2046</v>
      </c>
    </row>
    <row r="54" spans="1:11" customFormat="1" hidden="1">
      <c r="A54">
        <v>3552</v>
      </c>
      <c r="B54" t="s">
        <v>2048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2046</v>
      </c>
    </row>
    <row r="55" spans="1:11" customFormat="1" hidden="1">
      <c r="A55" s="305" t="str">
        <f>HYPERLINK("http://tw.stock.yahoo.com/q/ta?s=3484","3484")</f>
        <v>3484</v>
      </c>
      <c r="B55" s="305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2047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2046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2046</v>
      </c>
    </row>
    <row r="58" spans="1:11" customFormat="1" hidden="1">
      <c r="A58">
        <v>3293</v>
      </c>
      <c r="B58" t="s">
        <v>2026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2046</v>
      </c>
    </row>
    <row r="59" spans="1:11" customFormat="1" hidden="1">
      <c r="A59">
        <v>3290</v>
      </c>
      <c r="B59" t="s">
        <v>2052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2046</v>
      </c>
    </row>
    <row r="60" spans="1:11" customFormat="1" hidden="1">
      <c r="A60" s="305">
        <v>3260</v>
      </c>
      <c r="B60" s="305" t="s">
        <v>2009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2046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2046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2046</v>
      </c>
    </row>
    <row r="63" spans="1:11" customFormat="1" hidden="1">
      <c r="A63">
        <v>3211</v>
      </c>
      <c r="B63" t="s">
        <v>2050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2046</v>
      </c>
    </row>
    <row r="64" spans="1:11" customFormat="1" hidden="1">
      <c r="A64" s="305" t="str">
        <f>HYPERLINK("http://tw.stock.yahoo.com/q/ta?s=3144","3144")</f>
        <v>3144</v>
      </c>
      <c r="B64" s="305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2047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2046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2046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2046</v>
      </c>
    </row>
    <row r="68" spans="1:11" customFormat="1" hidden="1">
      <c r="A68">
        <v>3081</v>
      </c>
      <c r="B68" t="s">
        <v>2017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2046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2046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2046</v>
      </c>
    </row>
    <row r="71" spans="1:11" customFormat="1" hidden="1">
      <c r="A71">
        <v>1595</v>
      </c>
      <c r="B71" t="s">
        <v>2019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2046</v>
      </c>
    </row>
    <row r="72" spans="1:11" customFormat="1" hidden="1">
      <c r="A72" s="305">
        <v>1586</v>
      </c>
      <c r="B72" s="305" t="s">
        <v>2004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2046</v>
      </c>
    </row>
    <row r="73" spans="1:11" customFormat="1" hidden="1">
      <c r="A73" s="305"/>
      <c r="B73" s="305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5001:A5054" si="0">HYPERLINK("http://tw.stock.yahoo.com/q/ta?s=","")</f>
        <v/>
      </c>
      <c r="B5001" s="190" t="str">
        <f t="shared" ref="B5001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  <controls>
    <control shapeId="12296" r:id="rId3" name="CommandButton6"/>
    <control shapeId="12295" r:id="rId4" name="CommandButton5"/>
    <control shapeId="12293" r:id="rId5" name="CommandButton4"/>
    <control shapeId="12289" r:id="rId6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8" r:id="rId3" name="CommandButton6"/>
    <control shapeId="3085" r:id="rId4" name="CommandButton9"/>
    <control shapeId="3075" r:id="rId5" name="CommandButton3"/>
    <control shapeId="3077" r:id="rId6" name="CommandButton4"/>
    <control shapeId="3079" r:id="rId7" name="CommandButton5"/>
    <control shapeId="3080" r:id="rId8" name="CommandButton1"/>
    <control shapeId="3086" r:id="rId9" name="CommandButton10"/>
    <control shapeId="3087" r:id="rId10" name="CommandButton2"/>
    <control shapeId="3089" r:id="rId11" name="CommandButton7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228" sqref="A228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6" r:id="rId2" name="CommandButton7"/>
    <control shapeId="50184" r:id="rId3" name="CommandButton6"/>
    <control shapeId="50183" r:id="rId4" name="CommandButton5"/>
    <control shapeId="50178" r:id="rId5" name="CommandButton1"/>
    <control shapeId="50179" r:id="rId6" name="CommandButton2"/>
    <control shapeId="50180" r:id="rId7" name="CommandButton3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3" r:id="rId3" name="CommandButton3"/>
    <control shapeId="5122" r:id="rId4" name="CommandButton2"/>
    <control shapeId="5121" r:id="rId5" name="CommandButton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8" sqref="K8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60" r:id="rId3" name="CommandButton2"/>
    <control shapeId="19457" r:id="rId4" name="CommandButton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2016-01-31T15:14:04Z</dcterms:modified>
</cp:coreProperties>
</file>