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<sst xmlns="http://schemas.openxmlformats.org/spreadsheetml/2006/main" count="4701" uniqueCount="2062">
  <si>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</si>
  <si>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</si>
  <si>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</si>
  <si>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</si>
  <si>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</si>
  <si>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</si>
  <si>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</si>
  <si>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</si>
  <si>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</si>
  <si>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</si>
  <si>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</si>
  <si>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</si>
  <si>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</si>
  <si>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</si>
  <si>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</si>
  <si>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</si>
  <si>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</si>
  <si>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</si>
  <si>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</si>
  <si>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</si>
  <si>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</si>
  <si>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</si>
  <si>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</si>
  <si>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</si>
  <si>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</si>
  <si>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</si>
  <si>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</si>
  <si>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</si>
  <si>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</si>
  <si>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</si>
  <si>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</si>
  <si>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</si>
  <si>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</si>
  <si>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</si>
  <si>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</si>
  <si>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</si>
  <si>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</si>
  <si>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</si>
  <si>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</si>
  <si>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</si>
  <si>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</si>
  <si>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</si>
  <si>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</si>
  <si>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</si>
  <si>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</si>
  <si>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</si>
  <si>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</si>
  <si>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</si>
  <si>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</si>
  <si>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</si>
  <si>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</si>
  <si>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</si>
  <si>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</si>
  <si>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</si>
  <si>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</si>
  <si>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</si>
  <si>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</si>
  <si>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</si>
  <si>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</si>
  <si>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</si>
  <si>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</si>
  <si>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</si>
  <si>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</si>
  <si>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</si>
  <si>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</si>
  <si>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</si>
  <si>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</si>
  <si>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</si>
  <si>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</si>
  <si>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</si>
  <si>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</si>
  <si>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</si>
  <si>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</si>
  <si>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</si>
  <si>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</si>
  <si>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</si>
  <si>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</si>
  <si>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</si>
  <si>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</si>
  <si>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</si>
  <si>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</si>
  <si>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</si>
  <si>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</si>
  <si>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</si>
  <si>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</si>
  <si>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</si>
  <si>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</si>
  <si>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</si>
  <si>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</si>
  <si>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</si>
  <si>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</si>
  <si>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</si>
  <si>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</si>
  <si>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</si>
  <si>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</si>
  <si>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</si>
  <si>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</si>
  <si>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</si>
  <si>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</si>
  <si>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</si>
  <si>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</si>
  <si>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</si>
  <si>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</si>
  <si>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</si>
  <si>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</si>
  <si>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</si>
  <si>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</si>
  <si>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</si>
  <si>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</si>
  <si>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</si>
  <si>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</si>
  <si>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</si>
  <si>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</si>
  <si>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</si>
  <si>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</si>
  <si>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</si>
  <si>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</si>
  <si>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</si>
  <si>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</si>
  <si>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</si>
  <si>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</si>
  <si>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</si>
  <si>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</si>
  <si>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</si>
  <si>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</si>
  <si>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</si>
  <si>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</si>
  <si>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</si>
  <si>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</si>
  <si>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</si>
  <si>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</si>
  <si>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</si>
  <si>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</si>
  <si>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</si>
  <si>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</si>
  <si>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</si>
  <si>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</si>
  <si>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</si>
  <si>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</si>
  <si>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</si>
  <si>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</si>
  <si>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</si>
  <si>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</si>
  <si>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</si>
  <si>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</si>
  <si>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</si>
  <si>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</si>
  <si>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</si>
  <si>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</si>
  <si>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</si>
  <si>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</si>
  <si>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</si>
  <si>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</si>
  <si>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</si>
  <si>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</si>
  <si>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</si>
  <si>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</si>
  <si>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</si>
  <si>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</si>
  <si>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</si>
  <si>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</si>
  <si>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</si>
  <si>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</si>
  <si>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</si>
  <si>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</si>
  <si>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</si>
  <si>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</si>
  <si>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</si>
  <si>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</si>
  <si>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</si>
  <si>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</si>
  <si>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</si>
  <si>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</si>
  <si>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</si>
  <si>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</si>
  <si>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</si>
  <si>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</si>
  <si>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</si>
  <si>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</si>
  <si>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</si>
  <si>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</si>
  <si>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</si>
  <si>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</si>
  <si>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</si>
  <si>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</si>
  <si>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</si>
  <si>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</si>
  <si>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</si>
  <si>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</si>
  <si>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</si>
  <si>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</si>
  <si>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</si>
  <si>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</si>
  <si>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</si>
  <si>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</si>
  <si>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</si>
  <si>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</si>
  <si>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</si>
  <si>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</si>
  <si>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</si>
  <si>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</si>
  <si>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</si>
  <si>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</si>
  <si>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</si>
  <si>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</si>
  <si>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</si>
  <si>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</si>
  <si>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</si>
  <si>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</si>
  <si>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</si>
  <si>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</si>
  <si>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</si>
  <si>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</si>
  <si>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</si>
  <si>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</si>
  <si>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</si>
  <si>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</si>
  <si>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</si>
  <si>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</si>
  <si>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</si>
  <si>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</si>
  <si>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</si>
  <si>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</si>
  <si>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</si>
  <si>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</si>
  <si>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</si>
  <si>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</si>
  <si>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</si>
  <si>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</si>
  <si>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</si>
  <si>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</si>
  <si>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</si>
  <si>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</si>
  <si>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</si>
  <si>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</si>
  <si>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</si>
  <si>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</si>
  <si>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</si>
  <si>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</si>
  <si>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</si>
  <si>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</si>
  <si>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</si>
  <si>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</si>
  <si>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</si>
  <si>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</si>
  <si>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</si>
  <si>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</si>
  <si>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</si>
  <si>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</si>
  <si>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</si>
  <si>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</si>
  <si>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</si>
  <si>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</si>
  <si>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</si>
  <si>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</si>
  <si>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</si>
  <si>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</si>
  <si>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</si>
  <si>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</si>
  <si>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</si>
  <si>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</si>
  <si>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</si>
  <si>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</si>
  <si>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</si>
  <si>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</si>
  <si>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</si>
  <si>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</si>
  <si>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</si>
  <si>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</si>
  <si>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</si>
  <si>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</si>
  <si>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</si>
  <si>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</si>
  <si>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</si>
  <si>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</si>
  <si>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</si>
  <si>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</si>
  <si>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</si>
  <si>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</si>
  <si>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</si>
  <si>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</si>
  <si>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</si>
  <si>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</si>
  <si>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</si>
  <si>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</si>
  <si>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</si>
  <si>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</si>
  <si>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</si>
  <si>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</si>
  <si>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</si>
  <si>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</si>
  <si>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</si>
  <si>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</si>
  <si>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</si>
  <si>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</si>
  <si>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</si>
  <si>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</si>
  <si>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</si>
  <si>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</si>
  <si>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</si>
  <si>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</si>
  <si>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</si>
  <si>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</si>
  <si>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</si>
  <si>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</si>
  <si>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</si>
  <si>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</si>
  <si>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</si>
  <si>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</si>
  <si>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</si>
  <si>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</si>
  <si>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</si>
  <si>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</si>
  <si>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</si>
  <si>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</si>
  <si>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</si>
  <si>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</si>
  <si>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</si>
  <si>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</si>
  <si>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</si>
  <si>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</si>
  <si>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</si>
  <si>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</si>
  <si>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</si>
  <si>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</si>
  <si>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</si>
  <si>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</si>
  <si>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</si>
  <si>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</si>
  <si>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</si>
  <si>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</si>
  <si>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</si>
  <si>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</si>
  <si>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</si>
  <si>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</si>
  <si>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</si>
  <si>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</si>
  <si>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</si>
  <si>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</si>
  <si>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</si>
  <si>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</si>
  <si>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</si>
  <si>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</si>
  <si>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</si>
  <si>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</si>
  <si>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</si>
  <si>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</si>
  <si>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</si>
  <si>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</si>
  <si>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</si>
  <si>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</si>
  <si>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</si>
  <si>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</si>
  <si>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</si>
  <si>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</si>
  <si>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</si>
  <si>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</si>
  <si>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</si>
  <si>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</si>
  <si>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</si>
  <si>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</si>
  <si>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</si>
  <si>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</si>
  <si>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</si>
  <si>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</si>
  <si>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</si>
  <si>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</si>
  <si>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</si>
  <si>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</si>
  <si>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</si>
  <si>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</si>
  <si>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</si>
  <si>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</si>
  <si>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</si>
  <si>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</si>
  <si>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</si>
  <si>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</si>
  <si>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</si>
  <si>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</si>
  <si>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</si>
  <si>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</si>
  <si>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</si>
  <si>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</si>
  <si>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</si>
  <si>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</si>
  <si>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</si>
  <si>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</si>
  <si>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</si>
  <si>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</si>
  <si>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</si>
  <si>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</si>
  <si>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</si>
  <si>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</si>
  <si>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</si>
  <si>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</si>
  <si>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</si>
  <si>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</si>
  <si>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</si>
  <si>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</si>
  <si>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</si>
  <si>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</si>
  <si>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</si>
  <si>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</si>
  <si>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</si>
  <si>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</si>
  <si>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</si>
  <si>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</si>
  <si>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</si>
  <si>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</si>
  <si>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</si>
  <si>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</si>
  <si>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</si>
  <si>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</si>
  <si>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</si>
  <si>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</si>
  <si>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</si>
  <si>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</si>
  <si>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</si>
  <si>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</si>
  <si>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</si>
  <si>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</si>
  <si>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</si>
  <si>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</si>
  <si>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</si>
  <si>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</si>
  <si>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</si>
  <si>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</si>
  <si>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</si>
  <si>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</si>
  <si>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</si>
  <si>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</si>
  <si>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</si>
  <si>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</si>
  <si>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</si>
  <si>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</si>
  <si>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</si>
  <si>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</si>
  <si>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</si>
  <si>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</si>
  <si>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</si>
  <si>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</si>
  <si>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</si>
  <si>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</si>
  <si>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</si>
  <si>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</si>
  <si>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</si>
  <si>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</si>
  <si>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</si>
  <si>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</si>
  <si>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</si>
  <si>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</si>
  <si>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</si>
  <si>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</si>
  <si>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</si>
  <si>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</si>
  <si>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</si>
  <si>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</si>
  <si>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</si>
  <si>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</si>
  <si>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</si>
  <si>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</si>
  <si>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</si>
  <si>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</si>
  <si>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</si>
  <si>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</si>
  <si>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</si>
  <si>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</si>
  <si>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</si>
  <si>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</si>
  <si>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</si>
  <si>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</si>
  <si>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</si>
  <si>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</si>
  <si>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</si>
  <si>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</si>
  <si>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</si>
  <si>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</si>
  <si>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</si>
  <si>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</si>
  <si>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</si>
  <si>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</si>
  <si>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</si>
  <si>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</si>
  <si>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</si>
  <si>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</si>
  <si>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</si>
  <si>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</si>
  <si>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</si>
  <si>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</si>
  <si>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</si>
  <si>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</si>
  <si>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</si>
  <si>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</si>
  <si>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</si>
  <si>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</si>
  <si>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</si>
  <si>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</si>
  <si>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</si>
  <si>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</si>
  <si>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</si>
  <si>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</si>
  <si>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</si>
  <si>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</si>
  <si>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</si>
  <si>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</si>
  <si>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</si>
  <si>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</si>
  <si>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</si>
  <si>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</si>
  <si>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</si>
  <si>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</si>
  <si>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</si>
  <si>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</si>
  <si>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</si>
  <si>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</si>
  <si>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</si>
  <si>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</si>
  <si>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</si>
  <si>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</si>
  <si>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</si>
  <si>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</si>
  <si>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</si>
  <si>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</si>
  <si>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</si>
  <si>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</si>
  <si>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</si>
  <si>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</si>
  <si>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</si>
  <si>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</si>
  <si>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</si>
  <si>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</si>
  <si>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</si>
  <si>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</si>
  <si>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</si>
  <si>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</si>
  <si>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</si>
  <si>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</si>
  <si>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</si>
  <si>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</si>
  <si>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</si>
  <si>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</si>
  <si>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</si>
  <si>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</si>
  <si>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</si>
  <si>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</si>
  <si>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</si>
  <si>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</si>
  <si>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</si>
  <si>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</si>
  <si>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</si>
  <si>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</si>
  <si>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</si>
  <si>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</si>
  <si>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</si>
  <si>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</si>
  <si>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</si>
  <si>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</si>
  <si>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</si>
  <si>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</si>
  <si>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</si>
  <si>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</si>
  <si>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</si>
  <si>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</si>
  <si>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</si>
  <si>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</si>
  <si>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</si>
  <si>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</si>
  <si>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</si>
  <si>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</si>
  <si>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</si>
  <si>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</si>
  <si>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</si>
  <si>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</si>
  <si>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</si>
  <si>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</si>
  <si>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</si>
  <si>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</si>
  <si>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</si>
  <si>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</si>
  <si>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</si>
  <si>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</si>
  <si>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</si>
  <si>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</si>
  <si>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</si>
  <si>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</si>
  <si>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</si>
  <si>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</si>
  <si>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</si>
  <si>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</si>
  <si>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</si>
  <si>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</si>
  <si>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</si>
  <si>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</si>
  <si>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</si>
  <si>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</si>
  <si>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</si>
  <si>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</si>
  <si>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</si>
  <si>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</si>
  <si>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</si>
  <si>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</si>
  <si>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</si>
  <si>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</si>
  <si>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</si>
  <si>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</si>
  <si>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</si>
  <si>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</si>
  <si>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</si>
  <si>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</si>
  <si>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</si>
  <si>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</si>
  <si>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</si>
  <si>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</si>
  <si>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</si>
  <si>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</si>
  <si>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</si>
  <si>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</si>
  <si>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</si>
  <si>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</si>
  <si>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</si>
  <si>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</si>
  <si>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</si>
  <si>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</si>
  <si>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</si>
  <si>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</si>
  <si>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</si>
  <si>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</si>
  <si>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</si>
  <si>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</si>
  <si>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</si>
  <si>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</si>
  <si>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</si>
  <si>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</si>
  <si>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</si>
  <si>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</si>
  <si>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</si>
  <si>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</si>
  <si>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</si>
  <si>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</si>
  <si>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</si>
  <si>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</si>
  <si>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</si>
  <si>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</si>
  <si>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</si>
  <si>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</si>
  <si>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</si>
  <si>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</si>
  <si>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</si>
  <si>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</si>
  <si>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</si>
  <si>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</si>
  <si>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</si>
  <si>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</si>
  <si>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</si>
  <si>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</si>
  <si>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</si>
  <si>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</si>
  <si>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</si>
  <si>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</si>
  <si>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</si>
  <si>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</si>
  <si>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</si>
  <si>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</si>
  <si>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</si>
  <si>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</si>
  <si>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</si>
  <si>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</si>
  <si>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</si>
  <si>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</si>
  <si>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</si>
  <si>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</si>
  <si>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</si>
  <si>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</si>
  <si>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</si>
  <si>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</si>
  <si>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</si>
  <si>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</si>
  <si>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</si>
  <si>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</si>
  <si>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</si>
  <si>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</si>
  <si>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</si>
  <si>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</si>
  <si>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</si>
  <si>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</si>
  <si>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</si>
  <si>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</si>
  <si>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</si>
  <si>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</si>
  <si>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</si>
  <si>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</si>
  <si>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</si>
  <si>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</si>
  <si>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</si>
  <si>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</si>
  <si>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</si>
  <si>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</si>
  <si>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</si>
  <si>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</si>
  <si>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</si>
  <si>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</si>
  <si>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</si>
  <si>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</si>
  <si>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</si>
  <si>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</si>
  <si>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</si>
  <si>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</si>
  <si>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</si>
  <si>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</si>
  <si>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</si>
  <si>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</si>
  <si>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</si>
  <si>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</si>
  <si>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</si>
  <si>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</si>
  <si>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</si>
  <si>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</si>
  <si>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</si>
  <si>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</si>
  <si>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</si>
  <si>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</si>
  <si>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</si>
  <si>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</si>
  <si>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</si>
  <si>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</si>
  <si>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</si>
  <si>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</si>
  <si>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</si>
  <si>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</si>
  <si>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</si>
  <si>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</si>
  <si>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</si>
  <si>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</si>
  <si>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</si>
  <si>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</si>
  <si>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</si>
  <si>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</si>
  <si>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</si>
  <si>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</si>
  <si>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</si>
  <si>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</si>
  <si>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</si>
  <si>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</si>
  <si>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</si>
  <si>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</si>
  <si>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</si>
  <si>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</si>
  <si>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</si>
  <si>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</si>
  <si>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</si>
  <si>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</si>
  <si>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</si>
  <si>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</si>
  <si>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</si>
  <si>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</si>
  <si>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</si>
  <si>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</si>
  <si>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</si>
  <si>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</si>
  <si>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</si>
  <si>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</si>
  <si>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</si>
  <si>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</si>
  <si>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</si>
  <si>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</si>
  <si>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</si>
  <si>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</si>
  <si>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</si>
  <si>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</si>
  <si>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</si>
  <si>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</si>
  <si>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</si>
  <si>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</si>
  <si>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</si>
  <si>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</si>
  <si>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</si>
  <si>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</si>
  <si>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</si>
  <si>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</si>
  <si>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</si>
  <si>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</si>
  <si>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</si>
  <si>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</si>
  <si>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</si>
  <si>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</si>
  <si>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</si>
  <si>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</si>
  <si>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</si>
  <si>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</si>
  <si>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</si>
  <si>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</si>
  <si>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</si>
  <si>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</si>
  <si>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</si>
  <si>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</si>
  <si>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</si>
  <si>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</si>
  <si>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</si>
  <si>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</si>
  <si>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</si>
  <si>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</si>
  <si>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</si>
  <si>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</si>
  <si>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</si>
  <si>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</si>
  <si>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</si>
  <si>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</si>
  <si>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</si>
  <si>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</si>
  <si>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</si>
  <si>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</si>
  <si>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</si>
  <si>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</si>
  <si>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</si>
  <si>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</si>
  <si>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</si>
  <si>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</si>
  <si>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</si>
  <si>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</si>
  <si>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</si>
  <si>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</si>
  <si>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</si>
  <si>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</si>
  <si>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</si>
  <si>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</si>
  <si>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</si>
  <si>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</si>
  <si>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</si>
  <si>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</si>
  <si>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</si>
  <si>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</si>
  <si>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</si>
  <si>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</si>
  <si>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</si>
  <si>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</si>
  <si>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</si>
  <si>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</si>
  <si>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</si>
  <si>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</si>
  <si>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</si>
  <si>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</si>
  <si>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</si>
  <si>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</si>
  <si>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</si>
  <si>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</si>
  <si>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</si>
  <si>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</si>
  <si>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</si>
  <si>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</si>
  <si>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</si>
  <si>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</si>
  <si>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</si>
  <si>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</si>
  <si>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</si>
  <si>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</si>
  <si>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</si>
  <si>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</si>
  <si>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</si>
  <si>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</si>
  <si>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</si>
  <si>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</si>
  <si>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</si>
  <si>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</si>
  <si>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</si>
  <si>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</si>
  <si>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</si>
  <si>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</si>
  <si>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</si>
  <si>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</si>
  <si>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</si>
  <si>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</si>
  <si>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</si>
  <si>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</si>
  <si>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</si>
  <si>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</si>
  <si>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</si>
  <si>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</si>
  <si>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</si>
  <si>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</si>
  <si>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</si>
  <si>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</si>
  <si>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</si>
  <si>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</si>
  <si>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</si>
  <si>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</si>
  <si>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</si>
  <si>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</si>
  <si>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</si>
  <si>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</si>
  <si>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</si>
  <si>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</si>
  <si>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</si>
  <si>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</si>
  <si>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</si>
  <si>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</si>
  <si>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</si>
  <si>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</si>
  <si>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</si>
  <si>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</si>
  <si>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</si>
  <si>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</si>
  <si>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</si>
  <si>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</si>
  <si>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</si>
  <si>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</si>
  <si>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</si>
  <si>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</si>
  <si>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</si>
  <si>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</si>
  <si>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</si>
  <si>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</si>
  <si>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</si>
  <si>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</si>
  <si>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</si>
  <si>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</si>
  <si>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</si>
  <si>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</si>
  <si>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</si>
  <si>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</si>
  <si>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</si>
  <si>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</si>
  <si>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</si>
  <si>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</si>
  <si>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</si>
  <si>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</si>
  <si>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</si>
  <si>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</si>
  <si>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</si>
  <si>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</si>
  <si>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</si>
  <si>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</si>
  <si>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</si>
  <si>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</si>
  <si>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</si>
  <si>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</si>
  <si>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</si>
  <si>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</si>
  <si>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</si>
  <si>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</si>
  <si>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</si>
  <si>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</si>
  <si>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</si>
  <si>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</si>
  <si>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</si>
  <si>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</si>
  <si>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</si>
  <si>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</si>
  <si>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</si>
  <si>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</si>
  <si>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</si>
  <si>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</si>
  <si>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</si>
  <si>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</si>
  <si>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</si>
  <si>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</si>
  <si>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</si>
  <si>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</si>
  <si>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</si>
  <si>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</si>
  <si>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</si>
  <si>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</si>
  <si>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</si>
  <si>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</si>
  <si>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</si>
  <si>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</si>
  <si>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</si>
  <si>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</si>
  <si>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</si>
  <si>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</si>
  <si>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</si>
  <si>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</si>
  <si>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</si>
  <si>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</si>
  <si>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</si>
  <si>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</si>
  <si>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</si>
  <si>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</si>
  <si>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</si>
  <si>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</si>
  <si>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</si>
  <si>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</si>
  <si>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</si>
  <si>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</si>
  <si>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</si>
  <si>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</si>
  <si>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</si>
  <si>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</si>
  <si>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</si>
  <si>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</si>
  <si>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</si>
  <si>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</si>
  <si>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</si>
  <si>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</si>
  <si>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</si>
  <si>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</si>
  <si>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</si>
  <si>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</si>
  <si>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</si>
  <si>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</si>
  <si>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</si>
  <si>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</si>
  <si>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</si>
  <si>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</si>
  <si>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</si>
  <si>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</si>
  <si>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</si>
  <si>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</si>
  <si>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</si>
  <si>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</si>
  <si>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</si>
  <si>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</si>
  <si>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</si>
  <si>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</si>
  <si>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</si>
  <si>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</si>
  <si>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</si>
  <si>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</si>
  <si>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</si>
  <si>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</si>
  <si>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</si>
  <si>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</si>
  <si>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</si>
  <si>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</si>
  <si>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</si>
  <si>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</si>
  <si>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</si>
  <si>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</si>
  <si>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</si>
  <si>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</si>
  <si>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</si>
  <si>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</si>
  <si>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</si>
  <si>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</si>
  <si>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</si>
  <si>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</si>
  <si>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</si>
  <si>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</si>
  <si>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</si>
  <si>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</si>
  <si>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</si>
  <si>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</si>
  <si>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</si>
  <si>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</si>
  <si>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</si>
  <si>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</si>
  <si>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</si>
  <si>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</si>
  <si>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</si>
  <si>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</si>
  <si>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</si>
  <si>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</si>
  <si>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</si>
  <si>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</si>
  <si>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</si>
  <si>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</si>
  <si>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</si>
  <si>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</si>
  <si>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</si>
  <si>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</si>
  <si>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</si>
  <si>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</si>
  <si>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</si>
  <si>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</si>
  <si>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</si>
  <si>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</si>
  <si>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</si>
  <si>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</si>
  <si>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</si>
  <si>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</si>
  <si>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</si>
  <si>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</si>
  <si>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</si>
  <si>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</si>
  <si>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</si>
  <si>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</si>
  <si>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</si>
  <si>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</si>
  <si>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</si>
  <si>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</si>
  <si>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</si>
  <si>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</si>
  <si>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</si>
  <si>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</si>
  <si>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</si>
  <si>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</si>
  <si>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</si>
  <si>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</si>
  <si>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</si>
  <si>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</si>
  <si>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</si>
  <si>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</si>
  <si>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</si>
  <si>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</si>
  <si>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</si>
  <si>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</si>
  <si>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</si>
  <si>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</si>
  <si>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</si>
  <si>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</si>
  <si>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</si>
  <si>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</si>
  <si>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</si>
  <si>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</si>
  <si>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</si>
  <si>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</si>
  <si>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</si>
  <si>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</si>
  <si>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</si>
  <si>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</si>
  <si>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</si>
  <si>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</si>
  <si>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</si>
  <si>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</si>
  <si>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</si>
  <si>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</si>
  <si>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</si>
  <si>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</si>
  <si>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</si>
  <si>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</si>
  <si>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</si>
  <si>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</si>
  <si>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</si>
  <si>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</si>
  <si>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</si>
  <si>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</si>
  <si>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</si>
  <si>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</si>
  <si>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</si>
  <si>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</si>
  <si>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</si>
  <si>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</si>
  <si>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</si>
  <si>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</si>
  <si>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</si>
  <si>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</si>
  <si>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</si>
  <si>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</si>
  <si>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</si>
  <si>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</si>
  <si>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</si>
  <si>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</si>
  <si>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</si>
  <si>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</si>
  <si>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</si>
  <si>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</si>
  <si>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</si>
  <si>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</si>
  <si>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</si>
  <si>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</si>
  <si>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</si>
  <si>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</si>
  <si>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</si>
  <si>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</si>
  <si>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</si>
  <si>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</si>
  <si>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</si>
  <si>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</si>
  <si>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</si>
  <si>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</si>
  <si>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</si>
  <si>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</si>
  <si>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</si>
  <si>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</si>
  <si>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</si>
  <si>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</si>
  <si>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</si>
  <si>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</si>
  <si>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</si>
  <si>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</si>
  <si>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</si>
  <si>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</si>
  <si>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</si>
  <si>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</si>
  <si>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</si>
  <si>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</si>
  <si>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</si>
  <si>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</si>
  <si>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</si>
  <si>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</si>
  <si>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</si>
  <si>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</si>
  <si>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</si>
  <si>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</si>
  <si>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</si>
  <si>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</si>
  <si>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</si>
  <si>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</si>
  <si>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</si>
  <si>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</si>
  <si>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</si>
  <si>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</si>
  <si>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</si>
  <si>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</si>
  <si>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</si>
  <si>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</si>
  <si>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</si>
  <si>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</si>
  <si>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</si>
  <si>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</si>
  <si>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</si>
  <si>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</si>
  <si>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</si>
  <si>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</si>
  <si>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</si>
  <si>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</si>
  <si>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</si>
  <si>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</si>
  <si>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</si>
  <si>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</si>
  <si>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</si>
  <si>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</si>
  <si>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</si>
  <si>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</si>
  <si>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</si>
  <si>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</si>
  <si>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</si>
  <si>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</si>
  <si>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</si>
  <si>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</si>
  <si>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</si>
  <si>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</si>
  <si>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</si>
  <si>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</si>
  <si>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</si>
  <si>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</si>
  <si>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</si>
  <si>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</si>
  <si>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</si>
  <si>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</si>
  <si>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</si>
  <si>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</si>
  <si>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</si>
  <si>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</si>
  <si>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</si>
  <si>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</si>
  <si>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</si>
  <si>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</si>
  <si>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</si>
  <si>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</si>
  <si>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</si>
  <si>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</si>
  <si>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</si>
  <si>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</si>
  <si>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</si>
  <si>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</si>
  <si>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</si>
  <si>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</si>
  <si>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</si>
  <si>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</si>
  <si>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</si>
  <si>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</si>
  <si>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</si>
  <si>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</si>
  <si>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</si>
  <si>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</si>
  <si>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</si>
  <si>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</si>
  <si>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</si>
  <si>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</si>
  <si>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</si>
  <si>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</si>
  <si>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</si>
  <si>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</si>
  <si>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</si>
  <si>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</si>
  <si>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</si>
  <si>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</si>
  <si>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</si>
  <si>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</si>
  <si>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</si>
  <si>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</si>
  <si>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</si>
  <si>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</si>
  <si>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</si>
  <si>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</si>
  <si>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</si>
  <si>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</si>
  <si>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</si>
  <si>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</si>
  <si>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</si>
  <si>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</si>
  <si>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</si>
  <si>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</si>
  <si>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</si>
  <si>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</si>
  <si>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</si>
  <si>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</si>
  <si>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</si>
  <si>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</si>
  <si>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</si>
  <si>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</si>
  <si>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</si>
  <si>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</si>
  <si>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</si>
  <si>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</si>
  <si>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</si>
  <si>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</si>
  <si>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</si>
  <si>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</si>
  <si>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</si>
  <si>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</si>
  <si>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</si>
  <si>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</si>
  <si>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</si>
  <si>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</si>
  <si>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</si>
  <si>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</si>
  <si>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</si>
  <si>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</si>
  <si>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</si>
  <si>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</si>
  <si>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</si>
  <si>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</si>
  <si>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</si>
  <si>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</si>
  <si>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</si>
  <si>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</si>
  <si>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</si>
  <si>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</si>
  <si>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</si>
  <si>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</si>
  <si>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</si>
  <si>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</si>
  <si>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</si>
  <si>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</si>
  <si>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</si>
  <si>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</si>
  <si>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</si>
  <si>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</si>
  <si>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</si>
  <si>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</si>
  <si>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</si>
  <si>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</si>
  <si>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</si>
  <si>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</si>
  <si>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</si>
  <si>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</si>
  <si>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</si>
  <si>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</si>
  <si>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</si>
  <si>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</si>
  <si>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</si>
  <si>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</si>
  <si>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</si>
  <si>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</si>
  <si>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</si>
  <si>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</si>
  <si>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</si>
  <si>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</si>
  <si>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</si>
  <si>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</si>
  <si>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</si>
  <si>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</si>
  <si>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</si>
  <si>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</si>
  <si>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</si>
  <si>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</si>
  <si>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</si>
  <si>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</si>
  <si>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</si>
  <si>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</si>
  <si>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</si>
  <si>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</si>
  <si>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</si>
  <si>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</si>
  <si>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</si>
  <si>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</si>
  <si>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</si>
  <si>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</si>
  <si>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</si>
  <si>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</si>
  <si>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</si>
  <si>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</si>
  <si>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</si>
  <si>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</si>
  <si>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</si>
  <si>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</si>
  <si>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</si>
  <si>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</si>
  <si>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</si>
  <si>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</si>
  <si>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</si>
  <si>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</si>
  <si>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</si>
  <si>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</si>
  <si>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</si>
  <si>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</si>
  <si>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</si>
  <si>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</si>
  <si>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</si>
  <si>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</si>
  <si>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</si>
  <si>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</si>
  <si>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</si>
  <si>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</si>
  <si>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</si>
  <si>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</si>
  <si>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</si>
  <si>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</si>
  <si>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</si>
  <si>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</si>
  <si>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</si>
  <si>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</si>
  <si>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</si>
  <si>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</si>
  <si>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</si>
  <si>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</si>
  <si>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</si>
  <si>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</si>
  <si>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</si>
  <si>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</si>
  <si>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</si>
  <si>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</si>
  <si>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</si>
  <si>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</si>
  <si>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</si>
  <si>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</si>
  <si>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</si>
  <si>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</si>
  <si>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</si>
  <si>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</si>
  <si>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</si>
  <si>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</si>
  <si>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</si>
  <si>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</si>
  <si>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</si>
  <si>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</si>
  <si>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</si>
  <si>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</si>
  <si>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</si>
  <si>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</si>
  <si>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</si>
  <si>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</si>
  <si>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</si>
  <si>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</si>
  <si>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</si>
  <si>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</si>
  <si>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</si>
  <si>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</si>
  <si>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</si>
  <si>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</si>
  <si>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</si>
  <si>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</si>
  <si>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</si>
  <si>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</si>
  <si>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</si>
  <si>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</si>
  <si>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</si>
  <si>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</si>
  <si>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</si>
  <si>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</si>
  <si>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</si>
  <si>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</si>
  <si>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</si>
  <si>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</si>
  <si>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</si>
  <si>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</si>
  <si>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</si>
  <si>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</si>
  <si>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</si>
  <si>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</si>
  <si>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</si>
  <si>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</si>
  <si>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</si>
  <si>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</si>
  <si>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</si>
  <si>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</si>
  <si>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</si>
  <si>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</si>
  <si>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</si>
  <si>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</si>
  <si>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</si>
  <si>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</si>
  <si>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</si>
  <si>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</si>
  <si>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</si>
  <si>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</si>
  <si>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</si>
  <si>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</si>
  <si>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</si>
  <si>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</si>
  <si>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</si>
  <si>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</si>
  <si>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</si>
  <si>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</si>
  <si>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</si>
  <si>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</si>
  <si>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</si>
  <si>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</si>
  <si>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</si>
  <si>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</si>
  <si>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</si>
  <si>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</si>
  <si>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</si>
  <si>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</si>
  <si>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</si>
  <si>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</si>
  <si>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</si>
  <si>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</si>
  <si>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</si>
  <si>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</si>
  <si>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</si>
  <si>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</si>
  <si>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</si>
  <si>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</si>
  <si>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</si>
  <si>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</si>
  <si>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</si>
  <si>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</si>
  <si>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</si>
  <si>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</si>
  <si>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</si>
  <si>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</si>
  <si>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</si>
  <si>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</si>
  <si>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</si>
  <si>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</si>
  <si>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</si>
  <si>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</si>
  <si>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</si>
  <si>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</si>
  <si>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</si>
  <si>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</si>
  <si>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</si>
  <si>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</si>
  <si>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</si>
  <si>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</si>
  <si>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</si>
  <si>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</si>
  <si>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</si>
  <si>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</si>
  <si>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</si>
  <si>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</si>
  <si>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</si>
  <si>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</si>
  <si>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</si>
  <si>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</si>
  <si>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</si>
  <si>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</si>
  <si>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</si>
  <si>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</si>
  <si>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</si>
  <si>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</si>
  <si>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</si>
  <si>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</si>
  <si>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</si>
  <si>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</si>
  <si>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</si>
  <si>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</si>
  <si>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</si>
  <si>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</si>
  <si>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</si>
  <si>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</si>
  <si>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</si>
  <si>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</si>
  <si>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</si>
  <si>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</si>
  <si>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</si>
  <si>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</si>
  <si>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</si>
  <si>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</si>
  <si>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</si>
  <si>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</si>
  <si>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</si>
  <si>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</si>
  <si>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</si>
  <si>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</si>
  <si>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</si>
  <si>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</si>
  <si>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</si>
  <si>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</si>
  <si>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</si>
  <si>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</si>
  <si>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</si>
  <si>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</si>
  <si>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</si>
  <si>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</si>
  <si>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</si>
  <si>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</si>
  <si>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</si>
  <si>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</si>
  <si>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</si>
  <si>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</si>
  <si>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</si>
  <si>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</si>
  <si>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</si>
  <si>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</si>
  <si>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</si>
  <si>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</si>
  <si>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</si>
  <si>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</si>
  <si>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</si>
  <si>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</si>
  <si>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</si>
  <si>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</si>
  <si>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</si>
  <si>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</si>
  <si>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</si>
  <si>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</si>
  <si>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</si>
  <si>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</si>
  <si>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</si>
  <si>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</si>
  <si>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</si>
  <si>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</si>
  <si>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</si>
  <si>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</si>
  <si>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</si>
  <si>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</si>
  <si>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</si>
  <si>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</si>
  <si>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</si>
  <si>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</si>
  <si>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</si>
  <si>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</si>
  <si>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</si>
  <si>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</si>
  <si>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</si>
  <si>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</si>
  <si>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</si>
  <si>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</si>
  <si>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</si>
  <si>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</si>
  <si>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</si>
  <si>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</si>
  <si>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</si>
  <si>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</si>
  <si>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</si>
  <si>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</si>
  <si>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</si>
  <si>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</si>
  <si>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</si>
  <si>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</si>
  <si>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</si>
  <si>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</si>
  <si>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</si>
  <si>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</si>
  <si>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</si>
  <si>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</si>
  <si>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</si>
  <si>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</si>
  <si>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</si>
  <si>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</si>
  <si>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</si>
  <si>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</si>
  <si>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</si>
  <si>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</si>
  <si>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</si>
  <si>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</si>
  <si>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</si>
  <si>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</si>
  <si>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</si>
  <si>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</si>
  <si>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</si>
  <si>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</si>
  <si>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</si>
  <si>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</si>
  <si>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</si>
  <si>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</si>
  <si>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</si>
  <si>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</si>
  <si>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</si>
  <si>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</si>
  <si>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</si>
  <si>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</si>
  <si>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</si>
  <si>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</si>
  <si>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</si>
  <si>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</si>
  <si>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</si>
  <si>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</si>
  <si>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</si>
  <si>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</si>
  <si>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</si>
  <si>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</si>
  <si>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</si>
  <si>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</si>
  <si>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</si>
  <si>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</si>
  <si>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</si>
  <si>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</si>
  <si>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</si>
  <si>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</si>
  <si>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</si>
  <si>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</si>
  <si>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</si>
  <si>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</si>
  <si>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</si>
  <si>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</si>
  <si>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</si>
  <si>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</si>
  <si>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</si>
  <si>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</si>
  <si>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</si>
  <si>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</si>
  <si>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</si>
  <si>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</si>
  <si>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</si>
  <si>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</si>
  <si>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</si>
  <si>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</si>
  <si>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</si>
  <si>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</si>
  <si>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</si>
  <si>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</si>
  <si>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</si>
  <si>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</si>
  <si>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</si>
  <si>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</si>
  <si>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</si>
  <si>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</si>
  <si>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</si>
  <si>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</si>
  <si>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</si>
  <si>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</si>
  <si>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</si>
  <si>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</si>
  <si>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</si>
  <si>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</si>
  <si>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</si>
  <si>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</si>
  <si>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</si>
  <si>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</si>
  <si>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</si>
  <si>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</si>
  <si>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</si>
  <si>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</si>
  <si>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</si>
  <si>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</si>
  <si>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</si>
  <si>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</si>
  <si>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</si>
  <si>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</si>
  <si>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</si>
  <si>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</si>
  <si>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</si>
  <si>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</si>
  <si>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</si>
  <si>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</si>
  <si>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</si>
  <si>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</si>
  <si>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</si>
  <si>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</si>
  <si>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</si>
  <si>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</si>
  <si>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</si>
  <si>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</si>
  <si>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</si>
  <si>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</si>
  <si>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</si>
  <si>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</si>
  <si>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</si>
  <si>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</si>
  <si>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</si>
  <si>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</si>
  <si>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</si>
  <si>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</si>
  <si>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</si>
  <si>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</si>
  <si>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</si>
  <si>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</si>
  <si>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</si>
  <si>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</si>
  <si>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</si>
  <si>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</si>
  <si>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</si>
  <si>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</si>
  <si>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</si>
  <si>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</si>
  <si>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</si>
  <si>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</si>
  <si>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</si>
  <si>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</si>
  <si>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</si>
  <si>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</si>
  <si>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</si>
  <si>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</si>
  <si>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</si>
  <si>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</si>
  <si>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</si>
  <si>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</si>
  <si>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</si>
  <si>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</si>
  <si>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</si>
  <si>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</si>
  <si>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</si>
  <si>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</si>
  <si>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</si>
  <si>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</si>
  <si>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</si>
  <si>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</si>
  <si>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</si>
  <si>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</si>
  <si>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</si>
  <si>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</si>
  <si>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</si>
  <si>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</si>
  <si>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</si>
  <si>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</si>
  <si>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</si>
  <si>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</si>
  <si>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</si>
  <si>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</si>
  <si>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</si>
  <si>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</si>
  <si>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</si>
  <si>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</si>
  <si>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</si>
  <si>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</si>
  <si>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</si>
  <si>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</si>
  <si>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</si>
  <si>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</si>
  <si>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</si>
  <si>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</si>
  <si>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</si>
  <si>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</si>
  <si>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</si>
  <si>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</si>
  <si>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</si>
  <si>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</si>
  <si>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</si>
  <si>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</si>
  <si>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</si>
  <si>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</si>
  <si>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</si>
  <si>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</si>
  <si>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</si>
  <si>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</si>
  <si>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</si>
  <si>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</si>
  <si>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</si>
  <si>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</si>
  <si>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</si>
  <si>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</si>
  <si>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</si>
  <si>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</si>
  <si>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</si>
  <si>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</si>
  <si>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</si>
  <si>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</si>
  <si>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</si>
  <si>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</si>
  <si>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</si>
  <si>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</si>
  <si>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</si>
  <si>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</si>
  <si>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</si>
  <si>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</si>
  <si>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</si>
  <si>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</si>
  <si>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</si>
  <si>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</si>
  <si>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</si>
  <si>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</si>
  <si>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</si>
  <si>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</si>
  <si>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</si>
  <si>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</si>
  <si>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</si>
  <si>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</si>
  <si>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</si>
  <si>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</si>
  <si>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</si>
  <si>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</si>
  <si>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</si>
  <si>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</si>
  <si>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</si>
  <si>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</si>
  <si>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</si>
  <si>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</si>
  <si>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</si>
  <si>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</si>
  <si>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</si>
  <si>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</si>
  <si>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</si>
  <si>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</si>
  <si>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</si>
  <si>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</si>
  <si>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</si>
  <si>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</si>
  <si>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</si>
  <si>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</si>
  <si>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</si>
  <si>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</si>
  <si>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</si>
  <si>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</si>
  <si>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</si>
  <si>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</si>
  <si>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</si>
  <si>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</si>
  <si>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</si>
  <si>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</si>
  <si>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</si>
  <si>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</si>
  <si>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</si>
  <si>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</si>
  <si>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</si>
  <si>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</si>
  <si>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</si>
  <si>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</si>
  <si>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</si>
  <si>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</si>
  <si>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</si>
  <si>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</si>
  <si>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</si>
  <si>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</si>
  <si>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</si>
  <si>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</si>
  <si>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</si>
  <si>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</si>
  <si>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</si>
  <si>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</si>
  <si>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</si>
  <si>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</si>
  <si>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</si>
  <si>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</si>
  <si>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</si>
  <si>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</si>
  <si>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</si>
  <si>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</si>
  <si>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</si>
  <si>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</si>
  <si>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</si>
  <si>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</si>
  <si>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</si>
  <si>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</si>
  <si>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</si>
  <si>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</si>
  <si>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</si>
  <si>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</si>
  <si>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</si>
  <si>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</si>
  <si>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</si>
  <si>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</si>
  <si>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</si>
  <si>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</si>
  <si>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</si>
  <si>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</si>
  <si>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</si>
  <si>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</si>
  <si>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</si>
  <si>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</si>
  <si>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</si>
  <si>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</si>
  <si>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</si>
  <si>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</si>
  <si>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</si>
  <si>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</si>
  <si>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</si>
  <si>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</si>
  <si>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</si>
  <si>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</si>
  <si>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</si>
  <si>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</si>
  <si>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</si>
  <si>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</si>
  <si>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</si>
  <si>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</si>
  <si>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</si>
  <si>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</si>
  <si>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</si>
  <si>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</si>
  <si>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</si>
  <si>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</si>
  <si>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</si>
  <si>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</si>
  <si>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</si>
  <si>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</si>
  <si>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</si>
  <si>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</si>
  <si>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</si>
  <si>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</si>
  <si>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</si>
  <si>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</si>
  <si>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</si>
  <si>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</si>
  <si>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</si>
  <si>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</si>
  <si>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</si>
  <si>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</si>
  <si>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</si>
  <si>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</si>
  <si>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</si>
  <si>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</si>
  <si>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</si>
  <si>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</si>
  <si>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</si>
  <si>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</si>
  <si>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</si>
  <si>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</si>
  <si>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</si>
  <si>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</si>
  <si>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</si>
  <si>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</si>
  <si>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</si>
  <si>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</si>
  <si>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</si>
  <si>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</si>
  <si>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</si>
  <si>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</si>
  <si>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</si>
  <si>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</si>
  <si>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</si>
  <si>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</si>
  <si>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</si>
  <si>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</si>
  <si>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</si>
  <si>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</si>
  <si>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</si>
  <si>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</si>
  <si>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</si>
  <si>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</si>
  <si>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</si>
  <si>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</si>
  <si>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</si>
  <si>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</si>
  <si>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</si>
  <si>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</si>
  <si>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</si>
  <si>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</si>
  <si>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</si>
  <si>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</si>
  <si>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</si>
  <si>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</si>
  <si>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</si>
  <si>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</si>
  <si>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</si>
  <si>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</si>
  <si>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</si>
  <si>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</si>
  <si>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</si>
  <si>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</si>
  <si>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</si>
  <si>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</si>
  <si>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</si>
  <si>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</si>
  <si>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</si>
  <si>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</si>
  <si>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</si>
  <si>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</si>
  <si>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</si>
  <si>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</si>
  <si>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</si>
  <si>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</si>
  <si>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</si>
  <si>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</si>
  <si>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</si>
  <si>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</si>
  <si>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</si>
  <si>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</si>
  <si>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</si>
  <si>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</si>
  <si>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</si>
  <si>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</si>
  <si>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</si>
  <si>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</si>
  <si>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5489</t>
  </si>
  <si>
    <t>彩富(5489)</t>
  </si>
  <si>
    <t>彩富（5489）</t>
  </si>
  <si>
    <t>5489彩富</t>
  </si>
  <si>
    <t xml:space="preserve">彩富(5489)      市價：50.5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</si>
</sst>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  <font>
      <sz val="12"/>
      <color rgb="FF000000"/>
      <name val="新細明體"/>
      <family val="1"/>
      <charset val="136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0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59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65" fillId="11" borderId="23" xfId="0" applyFont="1" applyFill="1" applyBorder="1" applyAlignment="1">
      <alignment horizontal="center" vertical="center"/>
    </xf>
    <xf numFmtId="0" fontId="65" fillId="11" borderId="25" xfId="0" applyFont="1" applyFill="1" applyBorder="1" applyAlignment="1">
      <alignment horizontal="center" vertical="center"/>
    </xf>
    <xf numFmtId="0" fontId="65" fillId="11" borderId="2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776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636</c:v>
                </c:pt>
                <c:pt idx="1">
                  <c:v>521</c:v>
                </c:pt>
                <c:pt idx="2">
                  <c:v>666</c:v>
                </c:pt>
                <c:pt idx="3">
                  <c:v>766</c:v>
                </c:pt>
                <c:pt idx="4">
                  <c:v>750</c:v>
                </c:pt>
                <c:pt idx="5">
                  <c:v>520</c:v>
                </c:pt>
                <c:pt idx="6">
                  <c:v>560</c:v>
                </c:pt>
                <c:pt idx="7">
                  <c:v>611</c:v>
                </c:pt>
              </c:numCache>
            </c:numRef>
          </c:val>
        </c:ser>
        <c:gapWidth val="125"/>
        <c:axId val="64048512"/>
        <c:axId val="64078976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0.35691823899371067</c:v>
                </c:pt>
                <c:pt idx="1">
                  <c:v>0.40882917466410751</c:v>
                </c:pt>
                <c:pt idx="2">
                  <c:v>0.39939939939939939</c:v>
                </c:pt>
                <c:pt idx="3">
                  <c:v>0.40339425587467365</c:v>
                </c:pt>
                <c:pt idx="4">
                  <c:v>0.43333333333333335</c:v>
                </c:pt>
                <c:pt idx="5">
                  <c:v>0.39615384615384613</c:v>
                </c:pt>
                <c:pt idx="6">
                  <c:v>0.39642857142857141</c:v>
                </c:pt>
                <c:pt idx="7">
                  <c:v>0.37643207855973815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0.38050314465408808</c:v>
                </c:pt>
                <c:pt idx="1">
                  <c:v>0.30710172744721687</c:v>
                </c:pt>
                <c:pt idx="2">
                  <c:v>0.17417417417417416</c:v>
                </c:pt>
                <c:pt idx="3">
                  <c:v>0.2258485639686684</c:v>
                </c:pt>
                <c:pt idx="4">
                  <c:v>0.184</c:v>
                </c:pt>
                <c:pt idx="5">
                  <c:v>0.15576923076923077</c:v>
                </c:pt>
                <c:pt idx="6">
                  <c:v>0.11785714285714285</c:v>
                </c:pt>
                <c:pt idx="7">
                  <c:v>0.27823240589198034</c:v>
                </c:pt>
              </c:numCache>
            </c:numRef>
          </c:val>
          <c:smooth val="1"/>
        </c:ser>
        <c:marker val="1"/>
        <c:axId val="64086400"/>
        <c:axId val="64080512"/>
      </c:lineChart>
      <c:catAx>
        <c:axId val="6404851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64078976"/>
        <c:crosses val="autoZero"/>
        <c:auto val="1"/>
        <c:lblAlgn val="ctr"/>
        <c:lblOffset val="100"/>
      </c:catAx>
      <c:valAx>
        <c:axId val="6407897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64048512"/>
        <c:crosses val="autoZero"/>
        <c:crossBetween val="between"/>
      </c:valAx>
      <c:valAx>
        <c:axId val="64080512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64086400"/>
        <c:crosses val="max"/>
        <c:crossBetween val="between"/>
      </c:valAx>
      <c:catAx>
        <c:axId val="64086400"/>
        <c:scaling>
          <c:orientation val="minMax"/>
        </c:scaling>
        <c:delete val="1"/>
        <c:axPos val="b"/>
        <c:tickLblPos val="none"/>
        <c:crossAx val="6408051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41"/>
          <c:y val="6.1852578105156222E-2"/>
          <c:w val="0.73786606461091042"/>
          <c:h val="0.88229882850009744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51.842610364683303</c:v>
                </c:pt>
                <c:pt idx="1">
                  <c:v>51.842610364683303</c:v>
                </c:pt>
                <c:pt idx="2">
                  <c:v>45.487987987987985</c:v>
                </c:pt>
                <c:pt idx="3">
                  <c:v>47.590567885117494</c:v>
                </c:pt>
                <c:pt idx="4">
                  <c:v>52.985833333333332</c:v>
                </c:pt>
                <c:pt idx="5">
                  <c:v>70.28004807692308</c:v>
                </c:pt>
                <c:pt idx="6">
                  <c:v>64.363839285714292</c:v>
                </c:pt>
                <c:pt idx="7">
                  <c:v>67.952127659574472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118.65462662337663</c:v>
                </c:pt>
                <c:pt idx="1">
                  <c:v>118.65462662337663</c:v>
                </c:pt>
                <c:pt idx="2">
                  <c:v>85.318749999999994</c:v>
                </c:pt>
                <c:pt idx="3">
                  <c:v>79.070021881838073</c:v>
                </c:pt>
                <c:pt idx="4">
                  <c:v>85.989705882352951</c:v>
                </c:pt>
                <c:pt idx="5">
                  <c:v>114.6437101910828</c:v>
                </c:pt>
                <c:pt idx="6">
                  <c:v>105.9633875739645</c:v>
                </c:pt>
                <c:pt idx="7">
                  <c:v>90.291994750656173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52.439123376623378</c:v>
                </c:pt>
                <c:pt idx="1">
                  <c:v>52.439123376623378</c:v>
                </c:pt>
                <c:pt idx="2">
                  <c:v>42.203125</c:v>
                </c:pt>
                <c:pt idx="3">
                  <c:v>53.512035010940913</c:v>
                </c:pt>
                <c:pt idx="4">
                  <c:v>54.320588235294117</c:v>
                </c:pt>
                <c:pt idx="5">
                  <c:v>56.086783439490446</c:v>
                </c:pt>
                <c:pt idx="6">
                  <c:v>45.894970414201183</c:v>
                </c:pt>
                <c:pt idx="7">
                  <c:v>46.343503937007874</c:v>
                </c:pt>
              </c:numCache>
            </c:numRef>
          </c:val>
          <c:smooth val="1"/>
        </c:ser>
        <c:marker val="1"/>
        <c:axId val="112566656"/>
        <c:axId val="112568192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12583808"/>
        <c:axId val="112569728"/>
      </c:lineChart>
      <c:catAx>
        <c:axId val="11256665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2568192"/>
        <c:crosses val="autoZero"/>
        <c:auto val="1"/>
        <c:lblAlgn val="ctr"/>
        <c:lblOffset val="100"/>
      </c:catAx>
      <c:valAx>
        <c:axId val="112568192"/>
        <c:scaling>
          <c:orientation val="minMax"/>
          <c:max val="143.38555194805195"/>
          <c:min val="32.762500000000003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2566656"/>
        <c:crosses val="autoZero"/>
        <c:crossBetween val="between"/>
      </c:valAx>
      <c:valAx>
        <c:axId val="11256972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2583808"/>
        <c:crosses val="max"/>
        <c:crossBetween val="between"/>
      </c:valAx>
      <c:catAx>
        <c:axId val="112583808"/>
        <c:scaling>
          <c:orientation val="minMax"/>
        </c:scaling>
        <c:delete val="1"/>
        <c:axPos val="b"/>
        <c:tickLblPos val="none"/>
        <c:crossAx val="11256972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562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10</c:v>
                </c:pt>
                <c:pt idx="1">
                  <c:v>126</c:v>
                </c:pt>
                <c:pt idx="2">
                  <c:v>145</c:v>
                </c:pt>
                <c:pt idx="3">
                  <c:v>447</c:v>
                </c:pt>
                <c:pt idx="4">
                  <c:v>105</c:v>
                </c:pt>
                <c:pt idx="5">
                  <c:v>166</c:v>
                </c:pt>
                <c:pt idx="6">
                  <c:v>68</c:v>
                </c:pt>
                <c:pt idx="7">
                  <c:v>191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7</c:v>
                </c:pt>
                <c:pt idx="1">
                  <c:v>121</c:v>
                </c:pt>
                <c:pt idx="2">
                  <c:v>144</c:v>
                </c:pt>
                <c:pt idx="3">
                  <c:v>441</c:v>
                </c:pt>
                <c:pt idx="4">
                  <c:v>100</c:v>
                </c:pt>
                <c:pt idx="5">
                  <c:v>162</c:v>
                </c:pt>
                <c:pt idx="6">
                  <c:v>64</c:v>
                </c:pt>
                <c:pt idx="7">
                  <c:v>186</c:v>
                </c:pt>
              </c:numCache>
            </c:numRef>
          </c:val>
        </c:ser>
        <c:gapWidth val="100"/>
        <c:axId val="66088320"/>
        <c:axId val="66106496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0.21396731054977711</c:v>
                </c:pt>
                <c:pt idx="1">
                  <c:v>0.18357834349229116</c:v>
                </c:pt>
                <c:pt idx="2">
                  <c:v>0.36287625418060199</c:v>
                </c:pt>
                <c:pt idx="3">
                  <c:v>0.26882477128782545</c:v>
                </c:pt>
                <c:pt idx="4">
                  <c:v>0.21899030424607155</c:v>
                </c:pt>
                <c:pt idx="5">
                  <c:v>0.20473996050032917</c:v>
                </c:pt>
                <c:pt idx="6">
                  <c:v>0.38146279949558637</c:v>
                </c:pt>
                <c:pt idx="7">
                  <c:v>0.24740356083086054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66113920"/>
        <c:axId val="66108032"/>
      </c:lineChart>
      <c:catAx>
        <c:axId val="6608832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66106496"/>
        <c:crosses val="autoZero"/>
        <c:auto val="1"/>
        <c:lblAlgn val="ctr"/>
        <c:lblOffset val="100"/>
      </c:catAx>
      <c:valAx>
        <c:axId val="6610649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66088320"/>
        <c:crosses val="autoZero"/>
        <c:crossBetween val="between"/>
      </c:valAx>
      <c:valAx>
        <c:axId val="66108032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66113920"/>
        <c:crosses val="max"/>
        <c:crossBetween val="between"/>
      </c:valAx>
      <c:catAx>
        <c:axId val="66113920"/>
        <c:scaling>
          <c:orientation val="minMax"/>
        </c:scaling>
        <c:delete val="1"/>
        <c:axPos val="b"/>
        <c:tickLblPos val="none"/>
        <c:crossAx val="6610803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59"/>
          <c:y val="6.3932132322468985E-2"/>
          <c:w val="0.74659195050210425"/>
          <c:h val="0.87328441529948309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113089920"/>
        <c:axId val="113088384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1.25</c:v>
                </c:pt>
                <c:pt idx="3">
                  <c:v>2.5838150289017343</c:v>
                </c:pt>
                <c:pt idx="4">
                  <c:v>0</c:v>
                </c:pt>
                <c:pt idx="5">
                  <c:v>2.0493827160493829</c:v>
                </c:pt>
                <c:pt idx="6">
                  <c:v>1.0303030303030303</c:v>
                </c:pt>
                <c:pt idx="7">
                  <c:v>1.1235294117647059</c:v>
                </c:pt>
              </c:numCache>
            </c:numRef>
          </c:val>
        </c:ser>
        <c:gapWidth val="125"/>
        <c:axId val="113064576"/>
        <c:axId val="113086848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0.13727928376025864</c:v>
                </c:pt>
                <c:pt idx="2">
                  <c:v>0.13727928376025864</c:v>
                </c:pt>
                <c:pt idx="3">
                  <c:v>0.14270957489074293</c:v>
                </c:pt>
                <c:pt idx="4">
                  <c:v>0.13182124410509768</c:v>
                </c:pt>
                <c:pt idx="5">
                  <c:v>0.10824632431280631</c:v>
                </c:pt>
                <c:pt idx="6">
                  <c:v>0.11846870150025866</c:v>
                </c:pt>
                <c:pt idx="7">
                  <c:v>0.11078646213781349</c:v>
                </c:pt>
              </c:numCache>
            </c:numRef>
          </c:val>
          <c:smooth val="1"/>
        </c:ser>
        <c:marker val="1"/>
        <c:axId val="113089920"/>
        <c:axId val="113088384"/>
      </c:lineChart>
      <c:catAx>
        <c:axId val="11306457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3086848"/>
        <c:crosses val="autoZero"/>
        <c:auto val="1"/>
        <c:lblAlgn val="ctr"/>
        <c:lblOffset val="100"/>
      </c:catAx>
      <c:valAx>
        <c:axId val="113086848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3064576"/>
        <c:crosses val="autoZero"/>
        <c:crossBetween val="between"/>
      </c:valAx>
      <c:valAx>
        <c:axId val="11308838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3089920"/>
        <c:crosses val="max"/>
        <c:crossBetween val="between"/>
      </c:valAx>
      <c:catAx>
        <c:axId val="113089920"/>
        <c:scaling>
          <c:orientation val="minMax"/>
        </c:scaling>
        <c:delete val="1"/>
        <c:axPos val="b"/>
        <c:tickLblPos val="none"/>
        <c:crossAx val="11308838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78" l="0.70000000000000062" r="0.70000000000000062" t="0.75000000000000278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24"/>
          <c:y val="3.130194005401276E-2"/>
          <c:w val="0.75824839488840423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3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</c:numCache>
            </c:numRef>
          </c:val>
        </c:ser>
        <c:axId val="113138688"/>
        <c:axId val="113152768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113138688"/>
        <c:axId val="113152768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2.4449877750611249E-2</c:v>
                </c:pt>
                <c:pt idx="1">
                  <c:v>3.2467532467532464E-2</c:v>
                </c:pt>
                <c:pt idx="2">
                  <c:v>2.5000000000000001E-2</c:v>
                </c:pt>
                <c:pt idx="3">
                  <c:v>2.4070021881838075E-2</c:v>
                </c:pt>
                <c:pt idx="4">
                  <c:v>2.1176470588235293E-2</c:v>
                </c:pt>
                <c:pt idx="5">
                  <c:v>2.2292993630573247E-2</c:v>
                </c:pt>
                <c:pt idx="6">
                  <c:v>2.0710059171597635E-2</c:v>
                </c:pt>
                <c:pt idx="7">
                  <c:v>1.8372703412073491E-2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2.4752475247524754E-2</c:v>
                </c:pt>
                <c:pt idx="1">
                  <c:v>2.4752475247524754E-2</c:v>
                </c:pt>
                <c:pt idx="2">
                  <c:v>1.5037593984962405E-2</c:v>
                </c:pt>
                <c:pt idx="3">
                  <c:v>1.4473684210526316E-2</c:v>
                </c:pt>
                <c:pt idx="4">
                  <c:v>1.9911504424778761E-2</c:v>
                </c:pt>
                <c:pt idx="5">
                  <c:v>1.66270783847981E-2</c:v>
                </c:pt>
                <c:pt idx="6">
                  <c:v>1.2589928057553957E-2</c:v>
                </c:pt>
                <c:pt idx="7">
                  <c:v>1.155115511551155E-2</c:v>
                </c:pt>
              </c:numCache>
            </c:numRef>
          </c:val>
          <c:smooth val="1"/>
        </c:ser>
        <c:marker val="1"/>
        <c:axId val="113160192"/>
        <c:axId val="113154304"/>
      </c:lineChart>
      <c:catAx>
        <c:axId val="11313868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3152768"/>
        <c:crosses val="autoZero"/>
        <c:auto val="1"/>
        <c:lblAlgn val="ctr"/>
        <c:lblOffset val="100"/>
      </c:catAx>
      <c:valAx>
        <c:axId val="11315276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3138688"/>
        <c:crosses val="autoZero"/>
        <c:crossBetween val="between"/>
      </c:valAx>
      <c:valAx>
        <c:axId val="11315430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13160192"/>
        <c:crosses val="max"/>
        <c:crossBetween val="between"/>
      </c:valAx>
      <c:catAx>
        <c:axId val="113160192"/>
        <c:scaling>
          <c:orientation val="minMax"/>
        </c:scaling>
        <c:delete val="1"/>
        <c:axPos val="b"/>
        <c:tickLblPos val="none"/>
        <c:crossAx val="11315430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104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1.57</c:v>
                </c:pt>
                <c:pt idx="2">
                  <c:v>1.1399999999999999</c:v>
                </c:pt>
                <c:pt idx="3">
                  <c:v>1.72</c:v>
                </c:pt>
                <c:pt idx="4">
                  <c:v>1.36</c:v>
                </c:pt>
                <c:pt idx="5">
                  <c:v>0.78</c:v>
                </c:pt>
                <c:pt idx="6">
                  <c:v>0.65</c:v>
                </c:pt>
                <c:pt idx="7">
                  <c:v>1.7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113191168"/>
        <c:axId val="113205248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</c:v>
                </c:pt>
                <c:pt idx="1">
                  <c:v>0.4887640449438202</c:v>
                </c:pt>
                <c:pt idx="2">
                  <c:v>0.93835616438356162</c:v>
                </c:pt>
                <c:pt idx="3">
                  <c:v>0.828125</c:v>
                </c:pt>
                <c:pt idx="4">
                  <c:v>0.66666666666666663</c:v>
                </c:pt>
                <c:pt idx="5">
                  <c:v>1.1720430107526882</c:v>
                </c:pt>
                <c:pt idx="6">
                  <c:v>1.2247191011235956</c:v>
                </c:pt>
                <c:pt idx="7">
                  <c:v>0.55500000000000005</c:v>
                </c:pt>
              </c:numCache>
            </c:numRef>
          </c:val>
          <c:smooth val="1"/>
        </c:ser>
        <c:marker val="1"/>
        <c:axId val="113208320"/>
        <c:axId val="113206784"/>
      </c:lineChart>
      <c:catAx>
        <c:axId val="11319116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3205248"/>
        <c:crosses val="autoZero"/>
        <c:auto val="1"/>
        <c:lblAlgn val="ctr"/>
        <c:lblOffset val="100"/>
      </c:catAx>
      <c:valAx>
        <c:axId val="11320524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3191168"/>
        <c:crosses val="autoZero"/>
        <c:crossBetween val="between"/>
      </c:valAx>
      <c:valAx>
        <c:axId val="11320678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3208320"/>
        <c:crosses val="max"/>
        <c:crossBetween val="between"/>
      </c:valAx>
      <c:catAx>
        <c:axId val="113208320"/>
        <c:scaling>
          <c:orientation val="minMax"/>
        </c:scaling>
        <c:delete val="1"/>
        <c:axPos val="b"/>
        <c:tickLblPos val="none"/>
        <c:crossAx val="11320678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45"/>
          <c:w val="0.88395908009621549"/>
          <c:h val="0.75954052669684702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636</c:v>
                </c:pt>
                <c:pt idx="1">
                  <c:v>521</c:v>
                </c:pt>
                <c:pt idx="2">
                  <c:v>666</c:v>
                </c:pt>
                <c:pt idx="3">
                  <c:v>766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750</c:v>
                </c:pt>
                <c:pt idx="1">
                  <c:v>520</c:v>
                </c:pt>
                <c:pt idx="2">
                  <c:v>560</c:v>
                </c:pt>
                <c:pt idx="3">
                  <c:v>611</c:v>
                </c:pt>
              </c:numCache>
            </c:numRef>
          </c:val>
        </c:ser>
        <c:gapWidth val="65"/>
        <c:axId val="113244800"/>
        <c:axId val="112599424"/>
      </c:barChart>
      <c:catAx>
        <c:axId val="113244800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2599424"/>
        <c:crosses val="autoZero"/>
        <c:auto val="1"/>
        <c:lblAlgn val="ctr"/>
        <c:lblOffset val="100"/>
      </c:catAx>
      <c:valAx>
        <c:axId val="112599424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1324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63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170.49723698805994</c:v>
                </c:pt>
                <c:pt idx="1">
                  <c:v>170.49723698805994</c:v>
                </c:pt>
                <c:pt idx="2">
                  <c:v>130.80673798798799</c:v>
                </c:pt>
                <c:pt idx="3">
                  <c:v>126.66058976695557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138.9755392156863</c:v>
                </c:pt>
                <c:pt idx="1">
                  <c:v>184.92375826800588</c:v>
                </c:pt>
                <c:pt idx="2">
                  <c:v>170.32722685967877</c:v>
                </c:pt>
                <c:pt idx="3">
                  <c:v>158.24412241023066</c:v>
                </c:pt>
              </c:numCache>
            </c:numRef>
          </c:val>
          <c:smooth val="1"/>
        </c:ser>
        <c:dLbls>
          <c:showVal val="1"/>
        </c:dLbls>
        <c:marker val="1"/>
        <c:axId val="112641920"/>
        <c:axId val="112643456"/>
      </c:lineChart>
      <c:catAx>
        <c:axId val="112641920"/>
        <c:scaling>
          <c:orientation val="minMax"/>
        </c:scaling>
        <c:delete val="1"/>
        <c:axPos val="b"/>
        <c:majorTickMark val="none"/>
        <c:tickLblPos val="none"/>
        <c:crossAx val="112643456"/>
        <c:crosses val="autoZero"/>
        <c:auto val="1"/>
        <c:lblAlgn val="ctr"/>
        <c:lblOffset val="100"/>
      </c:catAx>
      <c:valAx>
        <c:axId val="112643456"/>
        <c:scaling>
          <c:orientation val="minMax"/>
          <c:max val="222.90850992160705"/>
          <c:min val="100.32847181356446"/>
        </c:scaling>
        <c:delete val="1"/>
        <c:axPos val="l"/>
        <c:numFmt formatCode="#,##0;[Red]\-#,##0" sourceLinked="1"/>
        <c:majorTickMark val="none"/>
        <c:tickLblPos val="none"/>
        <c:crossAx val="1126419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546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32849664"/>
        <c:axId val="132851200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32854528"/>
        <c:axId val="132852736"/>
      </c:lineChart>
      <c:dateAx>
        <c:axId val="13284966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2851200"/>
        <c:crosses val="autoZero"/>
        <c:lblOffset val="100"/>
        <c:baseTimeUnit val="days"/>
      </c:dateAx>
      <c:valAx>
        <c:axId val="13285120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2849664"/>
        <c:crosses val="autoZero"/>
        <c:crossBetween val="between"/>
      </c:valAx>
      <c:valAx>
        <c:axId val="132852736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2854528"/>
        <c:crosses val="max"/>
        <c:crossBetween val="between"/>
      </c:valAx>
      <c:dateAx>
        <c:axId val="132854528"/>
        <c:scaling>
          <c:orientation val="minMax"/>
        </c:scaling>
        <c:delete val="1"/>
        <c:axPos val="b"/>
        <c:numFmt formatCode="General" sourceLinked="1"/>
        <c:tickLblPos val="none"/>
        <c:crossAx val="132852736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594E-2"/>
          <c:y val="7.6339457567804025E-2"/>
          <c:w val="0.91226332455746351"/>
          <c:h val="0.761626978445896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32887680"/>
        <c:axId val="132889216"/>
      </c:lineChart>
      <c:catAx>
        <c:axId val="13288768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2889216"/>
        <c:crosses val="autoZero"/>
        <c:auto val="1"/>
        <c:lblAlgn val="ctr"/>
        <c:lblOffset val="100"/>
      </c:catAx>
      <c:valAx>
        <c:axId val="132889216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28876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663E-2"/>
          <c:y val="7.6339457567804025E-2"/>
          <c:w val="0.91226344792658953"/>
          <c:h val="0.76162697844589644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33378432"/>
        <c:axId val="133379968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33383296"/>
        <c:axId val="133381504"/>
      </c:lineChart>
      <c:catAx>
        <c:axId val="13337843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3379968"/>
        <c:crosses val="autoZero"/>
        <c:auto val="1"/>
        <c:lblAlgn val="ctr"/>
        <c:lblOffset val="100"/>
      </c:catAx>
      <c:valAx>
        <c:axId val="133379968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3378432"/>
        <c:crosses val="autoZero"/>
        <c:crossBetween val="between"/>
      </c:valAx>
      <c:valAx>
        <c:axId val="133381504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33383296"/>
        <c:crosses val="max"/>
        <c:crossBetween val="between"/>
      </c:valAx>
      <c:catAx>
        <c:axId val="133383296"/>
        <c:scaling>
          <c:orientation val="minMax"/>
        </c:scaling>
        <c:delete val="1"/>
        <c:axPos val="b"/>
        <c:tickLblPos val="none"/>
        <c:crossAx val="133381504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689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34096384"/>
        <c:axId val="134097920"/>
      </c:barChart>
      <c:catAx>
        <c:axId val="13409638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4097920"/>
        <c:crosses val="autoZero"/>
        <c:auto val="1"/>
        <c:lblAlgn val="ctr"/>
        <c:lblOffset val="100"/>
      </c:catAx>
      <c:valAx>
        <c:axId val="134097920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40963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245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34139264"/>
        <c:axId val="134153344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34160768"/>
        <c:axId val="134154880"/>
      </c:lineChart>
      <c:catAx>
        <c:axId val="13413926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4153344"/>
        <c:crosses val="autoZero"/>
        <c:auto val="1"/>
        <c:lblAlgn val="ctr"/>
        <c:lblOffset val="100"/>
      </c:catAx>
      <c:valAx>
        <c:axId val="134153344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4139264"/>
        <c:crosses val="autoZero"/>
        <c:crossBetween val="between"/>
      </c:valAx>
      <c:valAx>
        <c:axId val="134154880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34160768"/>
        <c:crosses val="max"/>
        <c:crossBetween val="between"/>
      </c:valAx>
      <c:catAx>
        <c:axId val="134160768"/>
        <c:scaling>
          <c:orientation val="minMax"/>
        </c:scaling>
        <c:delete val="1"/>
        <c:axPos val="b"/>
        <c:tickLblPos val="none"/>
        <c:crossAx val="134154880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3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36323456"/>
        <c:axId val="136324992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36340608"/>
        <c:axId val="136326528"/>
      </c:lineChart>
      <c:catAx>
        <c:axId val="13632345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6324992"/>
        <c:crosses val="autoZero"/>
        <c:auto val="1"/>
        <c:lblAlgn val="ctr"/>
        <c:lblOffset val="100"/>
      </c:catAx>
      <c:valAx>
        <c:axId val="136324992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6323456"/>
        <c:crosses val="autoZero"/>
        <c:crossBetween val="between"/>
      </c:valAx>
      <c:valAx>
        <c:axId val="136326528"/>
        <c:scaling>
          <c:orientation val="minMax"/>
          <c:max val="0.42461380020597395"/>
          <c:min val="1.7723880597014945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36340608"/>
        <c:crosses val="max"/>
        <c:crossBetween val="between"/>
      </c:valAx>
      <c:catAx>
        <c:axId val="136340608"/>
        <c:scaling>
          <c:orientation val="minMax"/>
        </c:scaling>
        <c:delete val="1"/>
        <c:axPos val="b"/>
        <c:tickLblPos val="none"/>
        <c:crossAx val="136326528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5489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5489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5489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5489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5489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42386</v>
      </c>
      <c r="C2" s="145">
        <f ca="1">B2-WEEKDAY(TODAY())-1</f>
        <v>42384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42377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42370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42363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42356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42349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69" r:id="rId3" name="CommandButton1"/>
    <control shapeId="32771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2000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2001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2002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D41" sqref="AD4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18" t="s">
        <v>2057</v>
      </c>
      <c r="B1" s="319" t="s">
        <v>2061</v>
      </c>
      <c r="C1" s="320">
        <v>13</v>
      </c>
      <c r="D1" s="1"/>
      <c r="E1" s="1"/>
      <c r="F1" s="1"/>
      <c r="G1" s="13"/>
      <c r="H1" s="1"/>
      <c r="I1" s="1"/>
      <c r="J1" s="2"/>
      <c r="M1" s="8"/>
      <c r="N1" s="183"/>
      <c r="O1" s="385">
        <v>0</v>
      </c>
      <c r="P1" s="209">
        <v>1</v>
      </c>
      <c r="Q1" s="209">
        <v>0</v>
      </c>
      <c r="R1" s="209">
        <v>1</v>
      </c>
      <c r="S1" s="386">
        <v>0</v>
      </c>
      <c r="T1" s="387" t="str">
        <f>"    合計 " &amp; SUM(O1:S1) &amp; " 分    "</f>
        <v xml:space="preserve">    合計 2 分    </v>
      </c>
      <c r="U1" s="388"/>
      <c r="V1" s="389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21" t="s">
        <v>1890</v>
      </c>
      <c r="G2" s="321"/>
      <c r="H2" s="321"/>
      <c r="I2" s="321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28" t="s">
        <v>9</v>
      </c>
      <c r="X2" s="328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636</v>
      </c>
      <c r="P3" s="216">
        <f>VLOOKUP("營業收入淨額",$B$40:$L$500,8,0)</f>
        <v>521</v>
      </c>
      <c r="Q3" s="216">
        <f>VLOOKUP("營業收入淨額",$B$40:$L$500,7,0)</f>
        <v>666</v>
      </c>
      <c r="R3" s="216">
        <f>VLOOKUP("營業收入淨額",$B$40:$L$500,6,0)</f>
        <v>766</v>
      </c>
      <c r="S3" s="216">
        <f>VLOOKUP("營業收入淨額",$B$40:$L$500,5,0)</f>
        <v>750</v>
      </c>
      <c r="T3" s="216">
        <f>VLOOKUP("營業收入淨額",$B$40:$L$500,4,0)</f>
        <v>520</v>
      </c>
      <c r="U3" s="216">
        <f>VLOOKUP("營業收入淨額",$B$40:$L$500,3,0)</f>
        <v>560</v>
      </c>
      <c r="V3" s="217">
        <f>VLOOKUP("營業收入淨額",$B$40:$L$500,2,0)</f>
        <v>611</v>
      </c>
      <c r="W3" s="174">
        <f>MAX(O3:V3)</f>
        <v>766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30"/>
      <c r="G4" s="330"/>
      <c r="H4" s="330"/>
      <c r="I4" s="330"/>
      <c r="J4" s="6"/>
      <c r="K4" s="8"/>
      <c r="L4" s="8"/>
      <c r="M4" s="8"/>
      <c r="N4" s="184" t="s">
        <v>11</v>
      </c>
      <c r="O4" s="215">
        <f>VLOOKUP("營業成本",$B$40:$L$500,9,0)</f>
        <v>409</v>
      </c>
      <c r="P4" s="216">
        <f>VLOOKUP("營業成本",$B$40:$L$500,8,0)</f>
        <v>308</v>
      </c>
      <c r="Q4" s="216">
        <f>VLOOKUP("營業成本",$B$40:$L$500,7,0)</f>
        <v>400</v>
      </c>
      <c r="R4" s="216">
        <f>VLOOKUP("營業成本",$B$40:$L$500,6,0)</f>
        <v>457</v>
      </c>
      <c r="S4" s="216">
        <f>VLOOKUP("營業成本",$B$40:$L$500,5,0)</f>
        <v>425</v>
      </c>
      <c r="T4" s="216">
        <f>VLOOKUP("營業成本",$B$40:$L$500,4,0)</f>
        <v>314</v>
      </c>
      <c r="U4" s="216">
        <f>VLOOKUP("營業成本",$B$40:$L$500,3,0)</f>
        <v>338</v>
      </c>
      <c r="V4" s="217">
        <f>VLOOKUP("營業成本",$B$40:$L$500,2,0)</f>
        <v>381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16</v>
      </c>
      <c r="P5" s="216">
        <f>VLOOKUP("營業利益",$B$40:$L$500,8,0)</f>
        <v>87</v>
      </c>
      <c r="Q5" s="216">
        <f>VLOOKUP("營業利益",$B$40:$L$500,7,0)</f>
        <v>137</v>
      </c>
      <c r="R5" s="216">
        <f>VLOOKUP("營業利益",$B$40:$L$500,6,0)</f>
        <v>159</v>
      </c>
      <c r="S5" s="216">
        <f>VLOOKUP("營業利益",$B$40:$L$500,5,0)</f>
        <v>108</v>
      </c>
      <c r="T5" s="216">
        <f>VLOOKUP("營業利益",$B$40:$L$500,4,0)</f>
        <v>109</v>
      </c>
      <c r="U5" s="216">
        <f>VLOOKUP("營業利益",$B$40:$L$500,3,0)</f>
        <v>109</v>
      </c>
      <c r="V5" s="217">
        <f>VLOOKUP("營業利益",$B$40:$L$500,2,0)</f>
        <v>111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30"/>
      <c r="G6" s="330"/>
      <c r="H6" s="330"/>
      <c r="I6" s="330"/>
      <c r="J6" s="6"/>
      <c r="K6" s="8"/>
      <c r="L6" s="8"/>
      <c r="M6" s="8"/>
      <c r="N6" s="184" t="s">
        <v>12</v>
      </c>
      <c r="O6" s="215">
        <f>VLOOKUP("營業外收入合計",$B$40:$L$500,9,0)</f>
        <v>257</v>
      </c>
      <c r="P6" s="216">
        <f>VLOOKUP("營業外收入合計",$B$40:$L$500,8,0)</f>
        <v>93</v>
      </c>
      <c r="Q6" s="216">
        <f>VLOOKUP("營業外收入合計",$B$40:$L$500,7,0)</f>
        <v>28</v>
      </c>
      <c r="R6" s="216">
        <f>VLOOKUP("營業外收入合計",$B$40:$L$500,6,0)</f>
        <v>27</v>
      </c>
      <c r="S6" s="216">
        <f>VLOOKUP("營業外收入合計",$B$40:$L$500,5,0)</f>
        <v>48</v>
      </c>
      <c r="T6" s="216">
        <f>VLOOKUP("營業外收入合計",$B$40:$L$500,4,0)</f>
        <v>2</v>
      </c>
      <c r="U6" s="216">
        <f>VLOOKUP("營業外收入合計",$B$40:$L$500,3,0)</f>
        <v>2</v>
      </c>
      <c r="V6" s="217">
        <f>VLOOKUP("營業外收入合計",$B$40:$L$500,2,0)</f>
        <v>51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248</v>
      </c>
      <c r="P7" s="216">
        <f>VLOOKUP("稅前淨利",$B$40:$L$500,8,0)</f>
        <v>178</v>
      </c>
      <c r="Q7" s="216">
        <f>VLOOKUP("稅前淨利",$B$40:$L$500,7,0)</f>
        <v>146</v>
      </c>
      <c r="R7" s="216">
        <f>VLOOKUP("稅前淨利",$B$40:$L$500,6,0)</f>
        <v>192</v>
      </c>
      <c r="S7" s="216">
        <f>VLOOKUP("稅前淨利",$B$40:$L$500,5,0)</f>
        <v>162</v>
      </c>
      <c r="T7" s="216">
        <f>VLOOKUP("稅前淨利",$B$40:$L$500,4,0)</f>
        <v>93</v>
      </c>
      <c r="U7" s="216">
        <f>VLOOKUP("稅前淨利",$B$40:$L$500,3,0)</f>
        <v>89</v>
      </c>
      <c r="V7" s="217">
        <f>VLOOKUP("稅前淨利",$B$40:$L$500,2,0)</f>
        <v>200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30"/>
      <c r="G8" s="330"/>
      <c r="H8" s="330"/>
      <c r="I8" s="330"/>
      <c r="J8" s="6"/>
      <c r="K8" s="8"/>
      <c r="L8" s="8"/>
      <c r="M8" s="8"/>
      <c r="N8" s="184" t="s">
        <v>13</v>
      </c>
      <c r="O8" s="215">
        <f>VLOOKUP("本期稅後淨利",$B$40:$L$500,9,0)</f>
        <v>242</v>
      </c>
      <c r="P8" s="216">
        <f>VLOOKUP("本期稅後淨利",$B$40:$L$500,8,0)</f>
        <v>160</v>
      </c>
      <c r="Q8" s="216">
        <f>VLOOKUP("本期稅後淨利",$B$40:$L$500,7,0)</f>
        <v>116</v>
      </c>
      <c r="R8" s="216">
        <f>VLOOKUP("本期稅後淨利",$B$40:$L$500,6,0)</f>
        <v>173</v>
      </c>
      <c r="S8" s="216">
        <f>VLOOKUP("本期稅後淨利",$B$40:$L$500,5,0)</f>
        <v>138</v>
      </c>
      <c r="T8" s="216">
        <f>VLOOKUP("本期稅後淨利",$B$40:$L$500,4,0)</f>
        <v>81</v>
      </c>
      <c r="U8" s="216">
        <f>VLOOKUP("本期稅後淨利",$B$40:$L$500,3,0)</f>
        <v>66</v>
      </c>
      <c r="V8" s="217">
        <f>VLOOKUP("本期稅後淨利",$B$40:$L$500,2,0)</f>
        <v>170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2.4300000000000002</v>
      </c>
      <c r="P9" s="216">
        <f>VLOOKUP("每股盈餘 (元)",$B$40:$L$500,8,0)</f>
        <v>1.57</v>
      </c>
      <c r="Q9" s="216">
        <f>VLOOKUP("每股盈餘 (元)",$B$40:$L$500,7,0)</f>
        <v>1.1399999999999999</v>
      </c>
      <c r="R9" s="216">
        <f>VLOOKUP("每股盈餘 (元)",$B$40:$L$500,6,0)</f>
        <v>1.72</v>
      </c>
      <c r="S9" s="216">
        <f>VLOOKUP("每股盈餘 (元)",$B$40:$L$500,5,0)</f>
        <v>1.36</v>
      </c>
      <c r="T9" s="216">
        <f>VLOOKUP("每股盈餘 (元)",$B$40:$L$500,4,0)</f>
        <v>0.78</v>
      </c>
      <c r="U9" s="216">
        <f>VLOOKUP("每股盈餘 (元)",$B$40:$L$500,3,0)</f>
        <v>0.65</v>
      </c>
      <c r="V9" s="217">
        <f>VLOOKUP("每股盈餘 (元)",$B$40:$L$500,2,0)</f>
        <v>1.7</v>
      </c>
      <c r="W9" s="174">
        <f>MAX(R9:V9)</f>
        <v>1.72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30"/>
      <c r="G10" s="330"/>
      <c r="H10" s="330"/>
      <c r="I10" s="330"/>
      <c r="J10" s="6"/>
      <c r="K10" s="8"/>
      <c r="L10" s="8"/>
      <c r="M10" s="8"/>
      <c r="N10" s="184" t="s">
        <v>222</v>
      </c>
      <c r="O10" s="215">
        <f>VLOOKUP(" 應收帳款及票據",$B$40:$L$500,9,0)</f>
        <v>287</v>
      </c>
      <c r="P10" s="216">
        <f>VLOOKUP(" 應收帳款及票據",$B$40:$L$500,8,0)</f>
        <v>305</v>
      </c>
      <c r="Q10" s="216">
        <f>VLOOKUP(" 應收帳款及票據",$B$40:$L$500,7,0)</f>
        <v>359</v>
      </c>
      <c r="R10" s="216">
        <f>VLOOKUP(" 應收帳款及票據",$B$40:$L$500,6,0)</f>
        <v>440</v>
      </c>
      <c r="S10" s="216">
        <f>VLOOKUP(" 應收帳款及票據",$B$40:$L$500,5,0)</f>
        <v>431</v>
      </c>
      <c r="T10" s="216">
        <f>VLOOKUP(" 應收帳款及票據",$B$40:$L$500,4,0)</f>
        <v>370</v>
      </c>
      <c r="U10" s="216">
        <f>VLOOKUP(" 應收帳款及票據",$B$40:$L$500,3,0)</f>
        <v>420</v>
      </c>
      <c r="V10" s="217">
        <f>VLOOKUP(" 應收帳款及票據",$B$40:$L$500,2,0)</f>
        <v>490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431</v>
      </c>
      <c r="P11" s="216">
        <f>VLOOKUP(" 存貨",$B$40:$L$500,8,0)</f>
        <v>370</v>
      </c>
      <c r="Q11" s="216">
        <f>VLOOKUP(" 存貨",$B$40:$L$500,7,0)</f>
        <v>378</v>
      </c>
      <c r="R11" s="216">
        <f>VLOOKUP(" 存貨",$B$40:$L$500,6,0)</f>
        <v>414</v>
      </c>
      <c r="S11" s="216">
        <f>VLOOKUP(" 存貨",$B$40:$L$500,5,0)</f>
        <v>387</v>
      </c>
      <c r="T11" s="216">
        <f>VLOOKUP(" 存貨",$B$40:$L$500,4,0)</f>
        <v>402</v>
      </c>
      <c r="U11" s="216">
        <f>VLOOKUP(" 存貨",$B$40:$L$500,3,0)</f>
        <v>383</v>
      </c>
      <c r="V11" s="217">
        <f>VLOOKUP(" 存貨",$B$40:$L$500,2,0)</f>
        <v>371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221</v>
      </c>
      <c r="P12" s="216">
        <f>VLOOKUP(" 應付帳款及票據",$B$40:$L$500,8,0)</f>
        <v>133</v>
      </c>
      <c r="Q12" s="216">
        <f>VLOOKUP(" 應付帳款及票據",$B$40:$L$500,7,0)</f>
        <v>237</v>
      </c>
      <c r="R12" s="216">
        <f>VLOOKUP(" 應付帳款及票據",$B$40:$L$500,6,0)</f>
        <v>299</v>
      </c>
      <c r="S12" s="216">
        <f>VLOOKUP(" 應付帳款及票據",$B$40:$L$500,5,0)</f>
        <v>207</v>
      </c>
      <c r="T12" s="216">
        <f>VLOOKUP(" 應付帳款及票據",$B$40:$L$500,4,0)</f>
        <v>179</v>
      </c>
      <c r="U12" s="216">
        <f>VLOOKUP(" 應付帳款及票據",$B$40:$L$500,3,0)</f>
        <v>161</v>
      </c>
      <c r="V12" s="217">
        <f>VLOOKUP(" 應付帳款及票據",$B$40:$L$500,2,0)</f>
        <v>226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576</v>
      </c>
      <c r="P13" s="216">
        <f>VLOOKUP("負債總額",$B$40:$L$500,8,0)</f>
        <v>512</v>
      </c>
      <c r="Q13" s="216">
        <f>VLOOKUP("負債總額",$B$40:$L$500,7,0)</f>
        <v>1085</v>
      </c>
      <c r="R13" s="216">
        <f>VLOOKUP("負債總額",$B$40:$L$500,6,0)</f>
        <v>764</v>
      </c>
      <c r="S13" s="216">
        <f>VLOOKUP("負債總額",$B$40:$L$500,5,0)</f>
        <v>655</v>
      </c>
      <c r="T13" s="216">
        <f>VLOOKUP("負債總額",$B$40:$L$500,4,0)</f>
        <v>622</v>
      </c>
      <c r="U13" s="216">
        <f>VLOOKUP("負債總額",$B$40:$L$500,3,0)</f>
        <v>1210</v>
      </c>
      <c r="V13" s="217">
        <f>VLOOKUP("負債總額",$B$40:$L$500,2,0)</f>
        <v>667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22" t="s">
        <v>1889</v>
      </c>
      <c r="G14" s="322"/>
      <c r="H14" s="322"/>
      <c r="I14" s="322"/>
      <c r="J14" s="42"/>
      <c r="K14" s="8"/>
      <c r="L14" s="8"/>
      <c r="M14" s="8"/>
      <c r="N14" s="184" t="s">
        <v>18</v>
      </c>
      <c r="O14" s="215">
        <f>VLOOKUP("資產總額",$B$40:$L$500,9,0)</f>
        <v>2692</v>
      </c>
      <c r="P14" s="216">
        <f>VLOOKUP("資產總額",$B$40:$L$500,8,0)</f>
        <v>2789</v>
      </c>
      <c r="Q14" s="216">
        <f>VLOOKUP("資產總額",$B$40:$L$500,7,0)</f>
        <v>2990</v>
      </c>
      <c r="R14" s="216">
        <f>VLOOKUP("資產總額",$B$40:$L$500,6,0)</f>
        <v>2842</v>
      </c>
      <c r="S14" s="216">
        <f>VLOOKUP("資產總額",$B$40:$L$500,5,0)</f>
        <v>2991</v>
      </c>
      <c r="T14" s="216">
        <f>VLOOKUP("資產總額",$B$40:$L$500,4,0)</f>
        <v>3038</v>
      </c>
      <c r="U14" s="216">
        <f>VLOOKUP("資產總額",$B$40:$L$500,3,0)</f>
        <v>3172</v>
      </c>
      <c r="V14" s="217">
        <f>VLOOKUP("資產總額",$B$40:$L$500,2,0)</f>
        <v>2696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10</v>
      </c>
      <c r="P15" s="216">
        <f>VLOOKUP("來自營運之現金流量",$B$40:$L$500,8,0)</f>
        <v>126</v>
      </c>
      <c r="Q15" s="216">
        <f>VLOOKUP("來自營運之現金流量",$B$40:$L$500,7,0)</f>
        <v>145</v>
      </c>
      <c r="R15" s="216">
        <f>VLOOKUP("來自營運之現金流量",$B$40:$L$500,6,0)</f>
        <v>447</v>
      </c>
      <c r="S15" s="216">
        <f>VLOOKUP("來自營運之現金流量",$B$40:$L$500,5,0)</f>
        <v>105</v>
      </c>
      <c r="T15" s="216">
        <f>VLOOKUP("來自營運之現金流量",$B$40:$L$500,4,0)</f>
        <v>166</v>
      </c>
      <c r="U15" s="216">
        <f>VLOOKUP("來自營運之現金流量",$B$40:$L$500,3,0)</f>
        <v>68</v>
      </c>
      <c r="V15" s="217">
        <f>VLOOKUP("來自營運之現金流量",$B$40:$L$500,2,0)</f>
        <v>191</v>
      </c>
      <c r="W15" s="176">
        <f>AVERAGE(R15:V15)</f>
        <v>195.4</v>
      </c>
      <c r="X15" s="176">
        <f>AVERAGE(U15:V15)</f>
        <v>129.5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30"/>
      <c r="G16" s="330"/>
      <c r="H16" s="330"/>
      <c r="I16" s="330"/>
      <c r="J16" s="6"/>
      <c r="K16" s="8"/>
      <c r="L16" s="8"/>
      <c r="M16" s="8"/>
      <c r="N16" s="184" t="s">
        <v>20</v>
      </c>
      <c r="O16" s="215">
        <v>3</v>
      </c>
      <c r="P16" s="216">
        <v>5</v>
      </c>
      <c r="Q16" s="216">
        <v>1</v>
      </c>
      <c r="R16" s="216">
        <v>6</v>
      </c>
      <c r="S16" s="216">
        <v>5</v>
      </c>
      <c r="T16" s="216">
        <v>4</v>
      </c>
      <c r="U16" s="216">
        <v>4</v>
      </c>
      <c r="V16" s="217">
        <v>5</v>
      </c>
      <c r="W16" s="176">
        <f>MAX(O16:V16)</f>
        <v>6</v>
      </c>
      <c r="X16" s="176">
        <f>AVERAGE(U16:V16)</f>
        <v>4.5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0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30"/>
      <c r="G18" s="330"/>
      <c r="H18" s="330"/>
      <c r="I18" s="330"/>
      <c r="J18" s="6"/>
      <c r="K18" s="8"/>
      <c r="L18" s="8"/>
      <c r="M18" s="8"/>
      <c r="N18" s="184" t="s">
        <v>22</v>
      </c>
      <c r="O18" s="215">
        <f>VLOOKUP(" 折舊",$B$40:$L$500,9,0)</f>
        <v>8</v>
      </c>
      <c r="P18" s="216">
        <f>VLOOKUP(" 折舊",$B$40:$L$500,8,0)</f>
        <v>8</v>
      </c>
      <c r="Q18" s="216">
        <f>VLOOKUP(" 折舊",$B$40:$L$500,7,0)</f>
        <v>8</v>
      </c>
      <c r="R18" s="216">
        <f>VLOOKUP(" 折舊",$B$40:$L$500,6,0)</f>
        <v>9</v>
      </c>
      <c r="S18" s="216">
        <f>VLOOKUP(" 折舊",$B$40:$L$500,5,0)</f>
        <v>8</v>
      </c>
      <c r="T18" s="216">
        <f>VLOOKUP(" 折舊",$B$40:$L$500,4,0)</f>
        <v>6</v>
      </c>
      <c r="U18" s="216">
        <f>VLOOKUP(" 折舊",$B$40:$L$500,3,0)</f>
        <v>6</v>
      </c>
      <c r="V18" s="217">
        <f>VLOOKUP(" 折舊",$B$40:$L$500,2,0)</f>
        <v>6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2</v>
      </c>
      <c r="P19" s="219">
        <f>VLOOKUP(" 攤提",$B$40:$L$500,8,0)</f>
        <v>2</v>
      </c>
      <c r="Q19" s="219">
        <f>VLOOKUP(" 攤提",$B$40:$L$500,7,0)</f>
        <v>2</v>
      </c>
      <c r="R19" s="219">
        <f>VLOOKUP(" 攤提",$B$40:$L$500,6,0)</f>
        <v>2</v>
      </c>
      <c r="S19" s="219">
        <f>VLOOKUP(" 攤提",$B$40:$L$500,5,0)</f>
        <v>1</v>
      </c>
      <c r="T19" s="219">
        <f>VLOOKUP(" 攤提",$B$40:$L$500,4,0)</f>
        <v>1</v>
      </c>
      <c r="U19" s="219">
        <f>VLOOKUP(" 攤提",$B$40:$L$500,3,0)</f>
        <v>1</v>
      </c>
      <c r="V19" s="220">
        <f>VLOOKUP(" 攤提",$B$40:$L$500,2,0)</f>
        <v>1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30"/>
      <c r="G20" s="330"/>
      <c r="H20" s="330"/>
      <c r="I20" s="330"/>
      <c r="J20" s="6"/>
      <c r="K20" s="8"/>
      <c r="L20" s="8"/>
      <c r="M20" s="8"/>
      <c r="N20" s="184" t="s">
        <v>24</v>
      </c>
      <c r="O20" s="221">
        <f>VLOOKUP("股東權益總額",$B$40:$L$500,9,0)</f>
        <v>2117</v>
      </c>
      <c r="P20" s="222">
        <f>VLOOKUP("股東權益總額",$B$40:$L$500,8,0)</f>
        <v>2277</v>
      </c>
      <c r="Q20" s="222">
        <f>VLOOKUP("股東權益總額",$B$40:$L$500,7,0)</f>
        <v>1904</v>
      </c>
      <c r="R20" s="222">
        <f>VLOOKUP("股東權益總額",$B$40:$L$500,6,0)</f>
        <v>2078</v>
      </c>
      <c r="S20" s="222">
        <f>VLOOKUP("股東權益總額",$B$40:$L$500,5,0)</f>
        <v>2336</v>
      </c>
      <c r="T20" s="222">
        <f>VLOOKUP("股東權益總額",$B$40:$L$500,4,0)</f>
        <v>2416</v>
      </c>
      <c r="U20" s="222">
        <f>VLOOKUP("股東權益總額",$B$40:$L$500,3,0)</f>
        <v>1962</v>
      </c>
      <c r="V20" s="223">
        <f>VLOOKUP("股東權益總額",$B$40:$L$500,2,0)</f>
        <v>2029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1042</v>
      </c>
      <c r="P21" s="225">
        <f>VLOOKUP(" 普通股股本",$B$40:$L$500,8,0)</f>
        <v>1042</v>
      </c>
      <c r="Q21" s="225">
        <f>VLOOKUP(" 普通股股本",$B$40:$L$500,7,0)</f>
        <v>1042</v>
      </c>
      <c r="R21" s="225">
        <f>VLOOKUP(" 普通股股本",$B$40:$L$500,6,0)</f>
        <v>1042</v>
      </c>
      <c r="S21" s="225">
        <f>VLOOKUP(" 普通股股本",$B$40:$L$500,5,0)</f>
        <v>1042</v>
      </c>
      <c r="T21" s="225">
        <f>VLOOKUP(" 普通股股本",$B$40:$L$500,4,0)</f>
        <v>1042</v>
      </c>
      <c r="U21" s="225">
        <f>VLOOKUP(" 普通股股本",$B$40:$L$500,3,0)</f>
        <v>1042</v>
      </c>
      <c r="V21" s="226">
        <f>VLOOKUP(" 普通股股本",$B$40:$L$500,2,0)</f>
        <v>1042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30"/>
      <c r="G22" s="330"/>
      <c r="H22" s="330"/>
      <c r="I22" s="330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0.35691823899371067</v>
      </c>
      <c r="P22" s="228">
        <f t="shared" si="0"/>
        <v>0.40882917466410751</v>
      </c>
      <c r="Q22" s="228">
        <f t="shared" si="0"/>
        <v>0.39939939939939939</v>
      </c>
      <c r="R22" s="228">
        <f t="shared" si="0"/>
        <v>0.40339425587467365</v>
      </c>
      <c r="S22" s="228">
        <f t="shared" si="0"/>
        <v>0.43333333333333335</v>
      </c>
      <c r="T22" s="228">
        <f t="shared" si="0"/>
        <v>0.39615384615384613</v>
      </c>
      <c r="U22" s="228">
        <f t="shared" si="0"/>
        <v>0.39642857142857141</v>
      </c>
      <c r="V22" s="229">
        <f t="shared" si="0"/>
        <v>0.37643207855973815</v>
      </c>
      <c r="W22" s="329">
        <f>MIN(O22:V23)</f>
        <v>0.11785714285714285</v>
      </c>
      <c r="X22" s="329">
        <f>MAX(O22:V23)</f>
        <v>0.43333333333333335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0.38050314465408808</v>
      </c>
      <c r="P23" s="228">
        <f t="shared" ref="P23:V23" si="1">P8/P3</f>
        <v>0.30710172744721687</v>
      </c>
      <c r="Q23" s="228">
        <f t="shared" si="1"/>
        <v>0.17417417417417416</v>
      </c>
      <c r="R23" s="228">
        <f t="shared" si="1"/>
        <v>0.2258485639686684</v>
      </c>
      <c r="S23" s="228">
        <f t="shared" si="1"/>
        <v>0.184</v>
      </c>
      <c r="T23" s="228">
        <f t="shared" si="1"/>
        <v>0.15576923076923077</v>
      </c>
      <c r="U23" s="228">
        <f t="shared" si="1"/>
        <v>0.11785714285714285</v>
      </c>
      <c r="V23" s="229">
        <f t="shared" si="1"/>
        <v>0.27823240589198034</v>
      </c>
      <c r="W23" s="329"/>
      <c r="X23" s="329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0.21396731054977711</v>
      </c>
      <c r="P24" s="228">
        <f t="shared" si="2"/>
        <v>0.18357834349229116</v>
      </c>
      <c r="Q24" s="228">
        <f t="shared" si="2"/>
        <v>0.36287625418060199</v>
      </c>
      <c r="R24" s="228">
        <f t="shared" si="2"/>
        <v>0.26882477128782545</v>
      </c>
      <c r="S24" s="228">
        <f t="shared" si="2"/>
        <v>0.21899030424607155</v>
      </c>
      <c r="T24" s="228">
        <f t="shared" si="2"/>
        <v>0.20473996050032917</v>
      </c>
      <c r="U24" s="228">
        <f t="shared" si="2"/>
        <v>0.38146279949558637</v>
      </c>
      <c r="V24" s="229">
        <f t="shared" si="2"/>
        <v>0.24740356083086054</v>
      </c>
      <c r="W24" s="177">
        <f>MIN(O24:V24)</f>
        <v>0.18357834349229116</v>
      </c>
      <c r="X24" s="177">
        <f>MAX(O24:V24)</f>
        <v>0.38146279949558637</v>
      </c>
      <c r="Y24" s="174"/>
      <c r="Z24" s="8"/>
      <c r="AA24" s="127"/>
      <c r="AB24" s="7"/>
      <c r="AC24" s="8"/>
      <c r="AD24" s="9"/>
    </row>
    <row r="25" spans="1:30" ht="5.0999999999999996" customHeight="1">
      <c r="A25" s="325"/>
      <c r="B25" s="326"/>
      <c r="C25" s="326"/>
      <c r="D25" s="326"/>
      <c r="E25" s="326"/>
      <c r="F25" s="326"/>
      <c r="G25" s="326"/>
      <c r="H25" s="326"/>
      <c r="I25" s="326"/>
      <c r="J25" s="327"/>
      <c r="K25" s="8"/>
      <c r="L25" s="8"/>
      <c r="M25" s="8"/>
      <c r="N25" s="184" t="s">
        <v>27</v>
      </c>
      <c r="O25" s="230">
        <f>P25</f>
        <v>52.439123376623378</v>
      </c>
      <c r="P25" s="231">
        <f t="shared" ref="P25:V25" si="3">IF(ISNUMBER(365/(P4*4/((O12+P12)/2))),365/(P4*4/((O12+P12)/2)),0)</f>
        <v>52.439123376623378</v>
      </c>
      <c r="Q25" s="231">
        <f t="shared" si="3"/>
        <v>42.203125</v>
      </c>
      <c r="R25" s="231">
        <f t="shared" si="3"/>
        <v>53.512035010940913</v>
      </c>
      <c r="S25" s="231">
        <f t="shared" si="3"/>
        <v>54.320588235294117</v>
      </c>
      <c r="T25" s="231">
        <f t="shared" si="3"/>
        <v>56.086783439490446</v>
      </c>
      <c r="U25" s="231">
        <f t="shared" si="3"/>
        <v>45.894970414201183</v>
      </c>
      <c r="V25" s="232">
        <f t="shared" si="3"/>
        <v>46.343503937007874</v>
      </c>
      <c r="W25" s="178">
        <f>MIN(O25:V27)</f>
        <v>42.203125</v>
      </c>
      <c r="X25" s="179">
        <f>MAX(O25:V27)</f>
        <v>118.65462662337663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22" t="s">
        <v>1881</v>
      </c>
      <c r="G26" s="322"/>
      <c r="H26" s="322"/>
      <c r="I26" s="322"/>
      <c r="J26" s="124"/>
      <c r="K26" s="8"/>
      <c r="L26" s="8"/>
      <c r="M26" s="8"/>
      <c r="N26" s="184" t="s">
        <v>28</v>
      </c>
      <c r="O26" s="233">
        <f>P26</f>
        <v>51.842610364683303</v>
      </c>
      <c r="P26" s="234">
        <f t="shared" ref="P26:V27" si="4">IF(ISNUMBER(365/(P3*4/((O10+P10)/2))),365/(P3*4/((O10+P10)/2)),0)</f>
        <v>51.842610364683303</v>
      </c>
      <c r="Q26" s="234">
        <f t="shared" si="4"/>
        <v>45.487987987987985</v>
      </c>
      <c r="R26" s="234">
        <f t="shared" si="4"/>
        <v>47.590567885117494</v>
      </c>
      <c r="S26" s="234">
        <f t="shared" si="4"/>
        <v>52.985833333333332</v>
      </c>
      <c r="T26" s="234">
        <f t="shared" si="4"/>
        <v>70.28004807692308</v>
      </c>
      <c r="U26" s="234">
        <f t="shared" si="4"/>
        <v>64.363839285714292</v>
      </c>
      <c r="V26" s="235">
        <f t="shared" si="4"/>
        <v>67.952127659574472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118.65462662337663</v>
      </c>
      <c r="P27" s="231">
        <f t="shared" si="4"/>
        <v>118.65462662337663</v>
      </c>
      <c r="Q27" s="231">
        <f t="shared" si="4"/>
        <v>85.318749999999994</v>
      </c>
      <c r="R27" s="231">
        <f t="shared" si="4"/>
        <v>79.070021881838073</v>
      </c>
      <c r="S27" s="231">
        <f t="shared" si="4"/>
        <v>85.989705882352951</v>
      </c>
      <c r="T27" s="231">
        <f t="shared" si="4"/>
        <v>114.6437101910828</v>
      </c>
      <c r="U27" s="231">
        <f t="shared" si="4"/>
        <v>105.9633875739645</v>
      </c>
      <c r="V27" s="232">
        <f t="shared" si="4"/>
        <v>90.291994750656173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30"/>
      <c r="G28" s="330"/>
      <c r="H28" s="330"/>
      <c r="I28" s="330"/>
      <c r="J28" s="6"/>
      <c r="K28" s="8"/>
      <c r="L28" s="8"/>
      <c r="M28" s="8"/>
      <c r="N28" s="184" t="s">
        <v>30</v>
      </c>
      <c r="O28" s="236">
        <f>O26+O27</f>
        <v>170.49723698805994</v>
      </c>
      <c r="P28" s="237">
        <f t="shared" ref="P28:V28" si="5">P26+P27</f>
        <v>170.49723698805994</v>
      </c>
      <c r="Q28" s="237">
        <f t="shared" si="5"/>
        <v>130.80673798798799</v>
      </c>
      <c r="R28" s="237">
        <f t="shared" si="5"/>
        <v>126.66058976695557</v>
      </c>
      <c r="S28" s="237">
        <f t="shared" si="5"/>
        <v>138.9755392156863</v>
      </c>
      <c r="T28" s="237">
        <f t="shared" si="5"/>
        <v>184.92375826800588</v>
      </c>
      <c r="U28" s="237">
        <f t="shared" si="5"/>
        <v>170.32722685967877</v>
      </c>
      <c r="V28" s="238">
        <f t="shared" si="5"/>
        <v>158.24412241023066</v>
      </c>
      <c r="W28" s="180">
        <f>MIN(O28:V28)</f>
        <v>126.66058976695557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10</v>
      </c>
      <c r="P29" s="216">
        <f t="shared" ref="P29:V29" si="6">P18+P19</f>
        <v>10</v>
      </c>
      <c r="Q29" s="216">
        <f t="shared" si="6"/>
        <v>10</v>
      </c>
      <c r="R29" s="216">
        <f t="shared" si="6"/>
        <v>11</v>
      </c>
      <c r="S29" s="216">
        <f t="shared" si="6"/>
        <v>9</v>
      </c>
      <c r="T29" s="216">
        <f t="shared" si="6"/>
        <v>7</v>
      </c>
      <c r="U29" s="216">
        <f t="shared" si="6"/>
        <v>7</v>
      </c>
      <c r="V29" s="217">
        <f t="shared" si="6"/>
        <v>7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30"/>
      <c r="G30" s="330"/>
      <c r="H30" s="330"/>
      <c r="I30" s="330"/>
      <c r="J30" s="6"/>
      <c r="K30" s="8"/>
      <c r="L30" s="8"/>
      <c r="M30" s="8"/>
      <c r="N30" s="184" t="s">
        <v>32</v>
      </c>
      <c r="O30" s="227">
        <f>P30</f>
        <v>2.4752475247524754E-2</v>
      </c>
      <c r="P30" s="228">
        <f t="shared" ref="P30:V30" si="7">P29/(IF(P3-O3&gt;0,P3,O4)-P16)</f>
        <v>2.4752475247524754E-2</v>
      </c>
      <c r="Q30" s="228">
        <f t="shared" si="7"/>
        <v>1.5037593984962405E-2</v>
      </c>
      <c r="R30" s="228">
        <f t="shared" si="7"/>
        <v>1.4473684210526316E-2</v>
      </c>
      <c r="S30" s="228">
        <f t="shared" si="7"/>
        <v>1.9911504424778761E-2</v>
      </c>
      <c r="T30" s="228">
        <f t="shared" si="7"/>
        <v>1.66270783847981E-2</v>
      </c>
      <c r="U30" s="228">
        <f t="shared" si="7"/>
        <v>1.2589928057553957E-2</v>
      </c>
      <c r="V30" s="229">
        <f t="shared" si="7"/>
        <v>1.155115511551155E-2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2.4449877750611249E-2</v>
      </c>
      <c r="P31" s="240">
        <f t="shared" si="8"/>
        <v>3.2467532467532464E-2</v>
      </c>
      <c r="Q31" s="240">
        <f t="shared" si="8"/>
        <v>2.5000000000000001E-2</v>
      </c>
      <c r="R31" s="240">
        <f t="shared" si="8"/>
        <v>2.4070021881838075E-2</v>
      </c>
      <c r="S31" s="240">
        <f>S29/S4</f>
        <v>2.1176470588235293E-2</v>
      </c>
      <c r="T31" s="240">
        <f t="shared" si="8"/>
        <v>2.2292993630573247E-2</v>
      </c>
      <c r="U31" s="240">
        <f t="shared" si="8"/>
        <v>2.0710059171597635E-2</v>
      </c>
      <c r="V31" s="241">
        <f t="shared" si="8"/>
        <v>1.8372703412073491E-2</v>
      </c>
      <c r="W31" s="324">
        <f>AVERAGE(O32:V32)</f>
        <v>1.0046287733773567</v>
      </c>
      <c r="X31" s="324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30"/>
      <c r="G32" s="330"/>
      <c r="H32" s="330"/>
      <c r="I32" s="330"/>
      <c r="J32" s="6"/>
      <c r="K32" s="8"/>
      <c r="L32" s="8"/>
      <c r="M32" s="8"/>
      <c r="N32" s="323" t="s">
        <v>33</v>
      </c>
      <c r="O32" s="242">
        <f t="shared" ref="O32:V32" si="9">IF(O8&gt;0,IF(O15&gt;O8,IF(ISNUMBER(O15/O8),O15/O8,0),0),0)</f>
        <v>0</v>
      </c>
      <c r="P32" s="243">
        <f t="shared" si="9"/>
        <v>0</v>
      </c>
      <c r="Q32" s="243">
        <f t="shared" si="9"/>
        <v>1.25</v>
      </c>
      <c r="R32" s="243">
        <f t="shared" si="9"/>
        <v>2.5838150289017343</v>
      </c>
      <c r="S32" s="243">
        <f t="shared" si="9"/>
        <v>0</v>
      </c>
      <c r="T32" s="243">
        <f t="shared" si="9"/>
        <v>2.0493827160493829</v>
      </c>
      <c r="U32" s="243">
        <f t="shared" si="9"/>
        <v>1.0303030303030303</v>
      </c>
      <c r="V32" s="244">
        <f t="shared" si="9"/>
        <v>1.1235294117647059</v>
      </c>
      <c r="W32" s="324"/>
      <c r="X32" s="324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23"/>
      <c r="O33" s="242">
        <f>$W$31</f>
        <v>1.0046287733773567</v>
      </c>
      <c r="P33" s="243">
        <f t="shared" ref="P33:V33" si="10">$W$31</f>
        <v>1.0046287733773567</v>
      </c>
      <c r="Q33" s="243">
        <f t="shared" si="10"/>
        <v>1.0046287733773567</v>
      </c>
      <c r="R33" s="243">
        <f t="shared" si="10"/>
        <v>1.0046287733773567</v>
      </c>
      <c r="S33" s="243">
        <f t="shared" si="10"/>
        <v>1.0046287733773567</v>
      </c>
      <c r="T33" s="243">
        <f t="shared" si="10"/>
        <v>1.0046287733773567</v>
      </c>
      <c r="U33" s="243">
        <f t="shared" si="10"/>
        <v>1.0046287733773567</v>
      </c>
      <c r="V33" s="244">
        <f t="shared" si="10"/>
        <v>1.0046287733773567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30"/>
      <c r="G34" s="330"/>
      <c r="H34" s="330"/>
      <c r="I34" s="330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0</v>
      </c>
      <c r="P34" s="246">
        <f t="shared" si="11"/>
        <v>87</v>
      </c>
      <c r="Q34" s="246">
        <f t="shared" si="11"/>
        <v>137</v>
      </c>
      <c r="R34" s="246">
        <f t="shared" si="11"/>
        <v>159</v>
      </c>
      <c r="S34" s="246">
        <f t="shared" si="11"/>
        <v>108</v>
      </c>
      <c r="T34" s="246">
        <f t="shared" si="11"/>
        <v>109</v>
      </c>
      <c r="U34" s="246">
        <f t="shared" si="11"/>
        <v>109</v>
      </c>
      <c r="V34" s="247">
        <f t="shared" si="11"/>
        <v>111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</v>
      </c>
      <c r="P35" s="228">
        <f t="shared" si="12"/>
        <v>0.4887640449438202</v>
      </c>
      <c r="Q35" s="228">
        <f t="shared" si="12"/>
        <v>0.93835616438356162</v>
      </c>
      <c r="R35" s="228">
        <f t="shared" si="12"/>
        <v>0.828125</v>
      </c>
      <c r="S35" s="228">
        <f t="shared" si="12"/>
        <v>0.66666666666666663</v>
      </c>
      <c r="T35" s="228">
        <f t="shared" si="12"/>
        <v>1.1720430107526882</v>
      </c>
      <c r="U35" s="228">
        <f t="shared" si="12"/>
        <v>1.2247191011235956</v>
      </c>
      <c r="V35" s="229">
        <f>IF(ISNUMBER(V6),V34/V7,1)</f>
        <v>0.55500000000000005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0.13727928376025864</v>
      </c>
      <c r="Q36" s="249">
        <f>(Q8+P8)*2/(O20+Q20)</f>
        <v>0.13727928376025864</v>
      </c>
      <c r="R36" s="249">
        <f>((R8+Q8+P8)/3)*4/(O20+R20)</f>
        <v>0.14270957489074293</v>
      </c>
      <c r="S36" s="249">
        <f>(S8+R8+Q8+P8)/(O20+S20)</f>
        <v>0.13182124410509768</v>
      </c>
      <c r="T36" s="249">
        <f>(T8+S8+R8+Q8)/(P20+T20)</f>
        <v>0.10824632431280631</v>
      </c>
      <c r="U36" s="249">
        <f>(U8+T8+S8+R8)/(Q20+U20)</f>
        <v>0.11846870150025866</v>
      </c>
      <c r="V36" s="250">
        <f>(V8+U8+T8+S8)/(R20+V20)</f>
        <v>0.11078646213781349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7</v>
      </c>
      <c r="P37" s="125">
        <f>P15-P16</f>
        <v>121</v>
      </c>
      <c r="Q37" s="125">
        <f t="shared" ref="Q37:V37" si="13">Q15-Q16</f>
        <v>144</v>
      </c>
      <c r="R37" s="125">
        <f t="shared" si="13"/>
        <v>441</v>
      </c>
      <c r="S37" s="125">
        <f t="shared" si="13"/>
        <v>100</v>
      </c>
      <c r="T37" s="125">
        <f t="shared" si="13"/>
        <v>162</v>
      </c>
      <c r="U37" s="125">
        <f t="shared" si="13"/>
        <v>64</v>
      </c>
      <c r="V37" s="125">
        <f t="shared" si="13"/>
        <v>186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611</v>
      </c>
      <c r="D41" s="14">
        <v>560</v>
      </c>
      <c r="E41" s="14">
        <v>520</v>
      </c>
      <c r="F41" s="14">
        <v>750</v>
      </c>
      <c r="G41" s="14">
        <v>766</v>
      </c>
      <c r="H41" s="14">
        <v>666</v>
      </c>
      <c r="I41" s="14">
        <v>521</v>
      </c>
      <c r="J41" s="14">
        <v>636</v>
      </c>
      <c r="AA41" s="127"/>
    </row>
    <row r="42" spans="1:31" s="3" customFormat="1">
      <c r="B42" s="3" t="s">
        <v>11</v>
      </c>
      <c r="C42" s="14">
        <v>381</v>
      </c>
      <c r="D42" s="14">
        <v>338</v>
      </c>
      <c r="E42" s="14">
        <v>314</v>
      </c>
      <c r="F42" s="14">
        <v>425</v>
      </c>
      <c r="G42" s="14">
        <v>457</v>
      </c>
      <c r="H42" s="14">
        <v>400</v>
      </c>
      <c r="I42" s="14">
        <v>308</v>
      </c>
      <c r="J42" s="14">
        <v>409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231</v>
      </c>
      <c r="D43" s="14">
        <v>222</v>
      </c>
      <c r="E43" s="14">
        <v>207</v>
      </c>
      <c r="F43" s="14">
        <v>325</v>
      </c>
      <c r="G43" s="14">
        <v>309</v>
      </c>
      <c r="H43" s="14">
        <v>267</v>
      </c>
      <c r="I43" s="14">
        <v>213</v>
      </c>
      <c r="J43" s="14">
        <v>227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231</v>
      </c>
      <c r="D45" s="14">
        <v>222</v>
      </c>
      <c r="E45" s="14">
        <v>207</v>
      </c>
      <c r="F45" s="14">
        <v>325</v>
      </c>
      <c r="G45" s="14">
        <v>309</v>
      </c>
      <c r="H45" s="14">
        <v>267</v>
      </c>
      <c r="I45" s="14">
        <v>213</v>
      </c>
      <c r="J45" s="14">
        <v>227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119</v>
      </c>
      <c r="D46" s="14">
        <v>113</v>
      </c>
      <c r="E46" s="14">
        <v>98</v>
      </c>
      <c r="F46" s="14">
        <v>217</v>
      </c>
      <c r="G46" s="14">
        <v>150</v>
      </c>
      <c r="H46" s="14">
        <v>130</v>
      </c>
      <c r="I46" s="14">
        <v>125</v>
      </c>
      <c r="J46" s="14">
        <v>210</v>
      </c>
      <c r="N46" s="126"/>
      <c r="AA46" s="127"/>
    </row>
    <row r="47" spans="1:31" s="3" customFormat="1">
      <c r="B47" s="3" t="s">
        <v>59</v>
      </c>
      <c r="C47" s="14">
        <v>-97</v>
      </c>
      <c r="D47" s="14">
        <v>53</v>
      </c>
      <c r="E47" s="14">
        <v>44</v>
      </c>
      <c r="F47" s="14">
        <v>312</v>
      </c>
      <c r="G47" s="14">
        <v>-131</v>
      </c>
      <c r="H47" s="14">
        <v>68</v>
      </c>
      <c r="I47" s="14">
        <v>63</v>
      </c>
      <c r="J47" s="14">
        <v>251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152</v>
      </c>
      <c r="D48" s="14">
        <v>0</v>
      </c>
      <c r="E48" s="14">
        <v>0</v>
      </c>
      <c r="F48" s="14">
        <v>-209</v>
      </c>
      <c r="G48" s="14">
        <v>209</v>
      </c>
      <c r="H48" s="14">
        <v>0</v>
      </c>
      <c r="I48" s="14">
        <v>0</v>
      </c>
      <c r="J48" s="14">
        <v>-157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64</v>
      </c>
      <c r="D49" s="14">
        <v>61</v>
      </c>
      <c r="E49" s="14">
        <v>54</v>
      </c>
      <c r="F49" s="14">
        <v>114</v>
      </c>
      <c r="G49" s="14">
        <v>72</v>
      </c>
      <c r="H49" s="14">
        <v>62</v>
      </c>
      <c r="I49" s="14">
        <v>62</v>
      </c>
      <c r="J49" s="14">
        <v>117</v>
      </c>
      <c r="N49" s="116" t="s">
        <v>1959</v>
      </c>
      <c r="O49" s="333" t="s">
        <v>1961</v>
      </c>
      <c r="P49" s="333" t="s">
        <v>1962</v>
      </c>
      <c r="Q49" s="335" t="s">
        <v>1963</v>
      </c>
      <c r="R49" s="333" t="s">
        <v>1964</v>
      </c>
      <c r="S49" s="331" t="s">
        <v>1965</v>
      </c>
      <c r="T49" s="358" t="s">
        <v>1966</v>
      </c>
      <c r="U49" s="331" t="s">
        <v>1967</v>
      </c>
      <c r="V49" s="331" t="s">
        <v>1968</v>
      </c>
      <c r="W49" s="331" t="s">
        <v>1969</v>
      </c>
      <c r="X49" s="331" t="s">
        <v>1970</v>
      </c>
      <c r="Y49" s="331" t="s">
        <v>1971</v>
      </c>
      <c r="AA49" s="127"/>
    </row>
    <row r="50" spans="2:27" s="3" customFormat="1" ht="17.25" thickBot="1">
      <c r="B50" s="3" t="s">
        <v>62</v>
      </c>
      <c r="C50" s="14">
        <v>111</v>
      </c>
      <c r="D50" s="14">
        <v>109</v>
      </c>
      <c r="E50" s="14">
        <v>109</v>
      </c>
      <c r="F50" s="14">
        <v>108</v>
      </c>
      <c r="G50" s="14">
        <v>159</v>
      </c>
      <c r="H50" s="14">
        <v>137</v>
      </c>
      <c r="I50" s="14">
        <v>87</v>
      </c>
      <c r="J50" s="14">
        <v>16</v>
      </c>
      <c r="N50" s="117" t="s">
        <v>1960</v>
      </c>
      <c r="O50" s="334"/>
      <c r="P50" s="334"/>
      <c r="Q50" s="336"/>
      <c r="R50" s="334"/>
      <c r="S50" s="332"/>
      <c r="T50" s="359"/>
      <c r="U50" s="332"/>
      <c r="V50" s="332"/>
      <c r="W50" s="332"/>
      <c r="X50" s="332"/>
      <c r="Y50" s="332"/>
      <c r="AA50" s="127"/>
    </row>
    <row r="51" spans="2:27" s="3" customFormat="1">
      <c r="B51" s="3" t="s">
        <v>63</v>
      </c>
      <c r="C51" s="14">
        <v>1</v>
      </c>
      <c r="D51" s="14">
        <v>1</v>
      </c>
      <c r="E51" s="14">
        <v>1</v>
      </c>
      <c r="F51" s="14">
        <v>1</v>
      </c>
      <c r="G51" s="14">
        <v>2</v>
      </c>
      <c r="H51" s="14">
        <v>2</v>
      </c>
      <c r="I51" s="14">
        <v>1</v>
      </c>
      <c r="J51" s="14">
        <v>1</v>
      </c>
      <c r="N51" s="129" t="s">
        <v>2060</v>
      </c>
      <c r="O51" s="340">
        <v>0.56458333333333333</v>
      </c>
      <c r="P51" s="343">
        <v>50.5</v>
      </c>
      <c r="Q51" s="346">
        <v>50.1</v>
      </c>
      <c r="R51" s="349">
        <v>50.5</v>
      </c>
      <c r="S51" s="382">
        <v>0</v>
      </c>
      <c r="T51" s="352">
        <v>89</v>
      </c>
      <c r="U51" s="355">
        <v>50.5</v>
      </c>
      <c r="V51" s="355">
        <v>50.5</v>
      </c>
      <c r="W51" s="355">
        <v>50.6</v>
      </c>
      <c r="X51" s="355">
        <v>50.1</v>
      </c>
      <c r="Y51" s="130" t="s">
        <v>1973</v>
      </c>
      <c r="AA51" s="127"/>
    </row>
    <row r="52" spans="2:27" s="3" customFormat="1">
      <c r="B52" s="3" t="s">
        <v>64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1" t="s">
        <v>1972</v>
      </c>
      <c r="O52" s="341"/>
      <c r="P52" s="344"/>
      <c r="Q52" s="347"/>
      <c r="R52" s="350"/>
      <c r="S52" s="383"/>
      <c r="T52" s="353"/>
      <c r="U52" s="356"/>
      <c r="V52" s="356"/>
      <c r="W52" s="356"/>
      <c r="X52" s="356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41"/>
      <c r="P53" s="344"/>
      <c r="Q53" s="347"/>
      <c r="R53" s="350"/>
      <c r="S53" s="383"/>
      <c r="T53" s="353"/>
      <c r="U53" s="356"/>
      <c r="V53" s="356"/>
      <c r="W53" s="356"/>
      <c r="X53" s="356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4"/>
      <c r="O54" s="342"/>
      <c r="P54" s="345"/>
      <c r="Q54" s="348"/>
      <c r="R54" s="351"/>
      <c r="S54" s="384"/>
      <c r="T54" s="354"/>
      <c r="U54" s="357"/>
      <c r="V54" s="357"/>
      <c r="W54" s="357"/>
      <c r="X54" s="357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0</v>
      </c>
      <c r="F55" s="14">
        <v>0</v>
      </c>
      <c r="G55" s="14">
        <v>1</v>
      </c>
      <c r="H55" s="14">
        <v>25</v>
      </c>
      <c r="I55" s="14">
        <v>70</v>
      </c>
      <c r="J55" s="14">
        <v>230</v>
      </c>
      <c r="N55" s="118" t="s">
        <v>2055</v>
      </c>
      <c r="O55" s="337" t="s">
        <v>2056</v>
      </c>
      <c r="P55" s="338"/>
      <c r="Q55" s="338"/>
      <c r="R55" s="338"/>
      <c r="S55" s="338"/>
      <c r="T55" s="338"/>
      <c r="U55" s="338"/>
      <c r="V55" s="338"/>
      <c r="W55" s="338"/>
      <c r="X55" s="338"/>
      <c r="Y55" s="339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48</v>
      </c>
      <c r="D61" s="14">
        <v>0</v>
      </c>
      <c r="E61" s="14">
        <v>0</v>
      </c>
      <c r="F61" s="14">
        <v>44</v>
      </c>
      <c r="G61" s="14">
        <v>23</v>
      </c>
      <c r="H61" s="14">
        <v>1</v>
      </c>
      <c r="I61" s="14">
        <v>22</v>
      </c>
      <c r="J61" s="14">
        <v>26</v>
      </c>
      <c r="AA61" s="127"/>
    </row>
    <row r="62" spans="2:27" s="3" customFormat="1">
      <c r="B62" s="3" t="s">
        <v>74</v>
      </c>
      <c r="C62" s="14">
        <v>2</v>
      </c>
      <c r="D62" s="14">
        <v>1</v>
      </c>
      <c r="E62" s="14">
        <v>1</v>
      </c>
      <c r="F62" s="14">
        <v>2</v>
      </c>
      <c r="G62" s="14">
        <v>1</v>
      </c>
      <c r="H62" s="14">
        <v>1</v>
      </c>
      <c r="I62" s="14">
        <v>1</v>
      </c>
      <c r="J62" s="14">
        <v>1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51</v>
      </c>
      <c r="D63" s="14">
        <v>2</v>
      </c>
      <c r="E63" s="14">
        <v>2</v>
      </c>
      <c r="F63" s="14">
        <v>48</v>
      </c>
      <c r="G63" s="14">
        <v>27</v>
      </c>
      <c r="H63" s="14">
        <v>28</v>
      </c>
      <c r="I63" s="14">
        <v>93</v>
      </c>
      <c r="J63" s="14">
        <v>257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1</v>
      </c>
      <c r="D64" s="14">
        <v>1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1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1</v>
      </c>
      <c r="G68" s="14">
        <v>0</v>
      </c>
      <c r="H68" s="14">
        <v>0</v>
      </c>
      <c r="I68" s="14">
        <v>0</v>
      </c>
      <c r="J68" s="14">
        <v>0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6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-39</v>
      </c>
      <c r="D74" s="14">
        <v>21</v>
      </c>
      <c r="E74" s="14">
        <v>18</v>
      </c>
      <c r="F74" s="14">
        <v>-13</v>
      </c>
      <c r="G74" s="14">
        <v>-7</v>
      </c>
      <c r="H74" s="14">
        <v>18</v>
      </c>
      <c r="I74" s="14">
        <v>2</v>
      </c>
      <c r="J74" s="14">
        <v>9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15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-38</v>
      </c>
      <c r="D77" s="14">
        <v>22</v>
      </c>
      <c r="E77" s="14">
        <v>18</v>
      </c>
      <c r="F77" s="14">
        <v>-6</v>
      </c>
      <c r="G77" s="14">
        <v>-6</v>
      </c>
      <c r="H77" s="14">
        <v>19</v>
      </c>
      <c r="I77" s="14">
        <v>2</v>
      </c>
      <c r="J77" s="14">
        <v>25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200</v>
      </c>
      <c r="D78" s="14">
        <v>89</v>
      </c>
      <c r="E78" s="14">
        <v>93</v>
      </c>
      <c r="F78" s="14">
        <v>162</v>
      </c>
      <c r="G78" s="14">
        <v>192</v>
      </c>
      <c r="H78" s="14">
        <v>146</v>
      </c>
      <c r="I78" s="14">
        <v>178</v>
      </c>
      <c r="J78" s="14">
        <v>248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30</v>
      </c>
      <c r="D79" s="14">
        <v>23</v>
      </c>
      <c r="E79" s="14">
        <v>12</v>
      </c>
      <c r="F79" s="14">
        <v>23</v>
      </c>
      <c r="G79" s="14">
        <v>20</v>
      </c>
      <c r="H79" s="14">
        <v>31</v>
      </c>
      <c r="I79" s="14">
        <v>19</v>
      </c>
      <c r="J79" s="14">
        <v>6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170</v>
      </c>
      <c r="D80" s="14">
        <v>66</v>
      </c>
      <c r="E80" s="14">
        <v>81</v>
      </c>
      <c r="F80" s="14">
        <v>139</v>
      </c>
      <c r="G80" s="14">
        <v>173</v>
      </c>
      <c r="H80" s="14">
        <v>115</v>
      </c>
      <c r="I80" s="14">
        <v>159</v>
      </c>
      <c r="J80" s="14">
        <v>242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170</v>
      </c>
      <c r="D84" s="14">
        <v>66</v>
      </c>
      <c r="E84" s="14">
        <v>81</v>
      </c>
      <c r="F84" s="14">
        <v>139</v>
      </c>
      <c r="G84" s="14">
        <v>173</v>
      </c>
      <c r="H84" s="14">
        <v>115</v>
      </c>
      <c r="I84" s="14">
        <v>159</v>
      </c>
      <c r="J84" s="14">
        <v>242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1</v>
      </c>
      <c r="G86" s="14">
        <v>-1</v>
      </c>
      <c r="H86" s="14">
        <v>-1</v>
      </c>
      <c r="I86" s="14">
        <v>-1</v>
      </c>
      <c r="J86" s="14">
        <v>0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170</v>
      </c>
      <c r="D88" s="14">
        <v>66</v>
      </c>
      <c r="E88" s="14">
        <v>81</v>
      </c>
      <c r="F88" s="14">
        <v>138</v>
      </c>
      <c r="G88" s="14">
        <v>173</v>
      </c>
      <c r="H88" s="14">
        <v>116</v>
      </c>
      <c r="I88" s="14">
        <v>160</v>
      </c>
      <c r="J88" s="14">
        <v>242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1.7</v>
      </c>
      <c r="D89" s="14">
        <v>0.65</v>
      </c>
      <c r="E89" s="14">
        <v>0.78</v>
      </c>
      <c r="F89" s="14">
        <v>1.36</v>
      </c>
      <c r="G89" s="14">
        <v>1.72</v>
      </c>
      <c r="H89" s="14">
        <v>1.1399999999999999</v>
      </c>
      <c r="I89" s="14">
        <v>1.57</v>
      </c>
      <c r="J89" s="14">
        <v>2.4300000000000002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1.68</v>
      </c>
      <c r="D90" s="14">
        <v>0.64</v>
      </c>
      <c r="E90" s="14">
        <v>0.77</v>
      </c>
      <c r="F90" s="14" t="s">
        <v>98</v>
      </c>
      <c r="G90" s="14">
        <v>1.7</v>
      </c>
      <c r="H90" s="14">
        <v>1.1299999999999999</v>
      </c>
      <c r="I90" s="14">
        <v>1.56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1001</v>
      </c>
      <c r="D91" s="14">
        <v>1020</v>
      </c>
      <c r="E91" s="14">
        <v>1029</v>
      </c>
      <c r="F91" s="14">
        <v>1016</v>
      </c>
      <c r="G91" s="14">
        <v>1008</v>
      </c>
      <c r="H91" s="14">
        <v>1015</v>
      </c>
      <c r="I91" s="14">
        <v>1020</v>
      </c>
      <c r="J91" s="14">
        <v>998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5</v>
      </c>
      <c r="D94" s="14">
        <v>3</v>
      </c>
      <c r="E94" s="14">
        <v>1</v>
      </c>
      <c r="F94" s="14">
        <v>1</v>
      </c>
      <c r="G94" s="14">
        <v>3</v>
      </c>
      <c r="H94" s="14">
        <v>3</v>
      </c>
      <c r="I94" s="14">
        <v>2</v>
      </c>
      <c r="J94" s="14">
        <v>2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201</v>
      </c>
      <c r="D96" s="14">
        <v>90</v>
      </c>
      <c r="E96" s="14">
        <v>93</v>
      </c>
      <c r="F96" s="14">
        <v>162</v>
      </c>
      <c r="G96" s="14">
        <v>193</v>
      </c>
      <c r="H96" s="14">
        <v>147</v>
      </c>
      <c r="I96" s="14">
        <v>179</v>
      </c>
      <c r="J96" s="14">
        <v>249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208</v>
      </c>
      <c r="D97" s="14">
        <v>97</v>
      </c>
      <c r="E97" s="14">
        <v>99</v>
      </c>
      <c r="F97" s="14">
        <v>171</v>
      </c>
      <c r="G97" s="14">
        <v>203</v>
      </c>
      <c r="H97" s="14">
        <v>157</v>
      </c>
      <c r="I97" s="14">
        <v>189</v>
      </c>
      <c r="J97" s="14">
        <v>259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170</v>
      </c>
      <c r="D98" s="14">
        <v>66</v>
      </c>
      <c r="E98" s="14">
        <v>81</v>
      </c>
      <c r="F98" s="14">
        <v>145</v>
      </c>
      <c r="G98" s="14">
        <v>171</v>
      </c>
      <c r="H98" s="14">
        <v>90</v>
      </c>
      <c r="I98" s="14">
        <v>90</v>
      </c>
      <c r="J98" s="14">
        <v>12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789</v>
      </c>
      <c r="D125" s="14">
        <v>1306</v>
      </c>
      <c r="E125" s="14">
        <v>1165</v>
      </c>
      <c r="F125" s="14">
        <v>992</v>
      </c>
      <c r="G125" s="14">
        <v>843</v>
      </c>
      <c r="H125" s="14">
        <v>801</v>
      </c>
      <c r="I125" s="14">
        <v>758</v>
      </c>
      <c r="J125" s="14">
        <v>626</v>
      </c>
      <c r="AA125" s="127"/>
    </row>
    <row r="126" spans="2:27" s="3" customFormat="1">
      <c r="B126" s="3" t="s">
        <v>153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325</v>
      </c>
      <c r="I126" s="14">
        <v>300</v>
      </c>
      <c r="J126" s="14">
        <v>230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490</v>
      </c>
      <c r="D127" s="14">
        <v>420</v>
      </c>
      <c r="E127" s="14">
        <v>370</v>
      </c>
      <c r="F127" s="14">
        <v>431</v>
      </c>
      <c r="G127" s="14">
        <v>440</v>
      </c>
      <c r="H127" s="14">
        <v>359</v>
      </c>
      <c r="I127" s="14">
        <v>305</v>
      </c>
      <c r="J127" s="14">
        <v>287</v>
      </c>
      <c r="AA127" s="127"/>
    </row>
    <row r="128" spans="2:27" s="3" customFormat="1">
      <c r="B128" s="3" t="s">
        <v>154</v>
      </c>
      <c r="C128" s="14">
        <v>166</v>
      </c>
      <c r="D128" s="14">
        <v>173</v>
      </c>
      <c r="E128" s="14">
        <v>212</v>
      </c>
      <c r="F128" s="14">
        <v>292</v>
      </c>
      <c r="G128" s="14">
        <v>246</v>
      </c>
      <c r="H128" s="14">
        <v>227</v>
      </c>
      <c r="I128" s="14">
        <v>165</v>
      </c>
      <c r="J128" s="14">
        <v>216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371</v>
      </c>
      <c r="D130" s="14">
        <v>383</v>
      </c>
      <c r="E130" s="14">
        <v>402</v>
      </c>
      <c r="F130" s="14">
        <v>387</v>
      </c>
      <c r="G130" s="14">
        <v>414</v>
      </c>
      <c r="H130" s="14">
        <v>378</v>
      </c>
      <c r="I130" s="14">
        <v>370</v>
      </c>
      <c r="J130" s="14">
        <v>431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19</v>
      </c>
      <c r="D132" s="14">
        <v>27</v>
      </c>
      <c r="E132" s="14">
        <v>30</v>
      </c>
      <c r="F132" s="14">
        <v>34</v>
      </c>
      <c r="G132" s="14">
        <v>28</v>
      </c>
      <c r="H132" s="14">
        <v>30</v>
      </c>
      <c r="I132" s="14">
        <v>20</v>
      </c>
      <c r="J132" s="14">
        <v>35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20</v>
      </c>
      <c r="D133" s="14">
        <v>21</v>
      </c>
      <c r="E133" s="14">
        <v>18</v>
      </c>
      <c r="F133" s="14">
        <v>17</v>
      </c>
      <c r="G133" s="14">
        <v>14</v>
      </c>
      <c r="H133" s="14">
        <v>12</v>
      </c>
      <c r="I133" s="14">
        <v>8</v>
      </c>
      <c r="J133" s="14">
        <v>13</v>
      </c>
      <c r="AA133" s="127"/>
    </row>
    <row r="134" spans="2:27" s="3" customFormat="1">
      <c r="B134" s="3" t="s">
        <v>157</v>
      </c>
      <c r="C134" s="14">
        <v>1856</v>
      </c>
      <c r="D134" s="14">
        <v>2330</v>
      </c>
      <c r="E134" s="14">
        <v>2198</v>
      </c>
      <c r="F134" s="14">
        <v>2151</v>
      </c>
      <c r="G134" s="14">
        <v>1985</v>
      </c>
      <c r="H134" s="14">
        <v>2133</v>
      </c>
      <c r="I134" s="14">
        <v>1926</v>
      </c>
      <c r="J134" s="14">
        <v>1838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72</v>
      </c>
      <c r="D135" s="14">
        <v>70</v>
      </c>
      <c r="E135" s="14">
        <v>70</v>
      </c>
      <c r="F135" s="14">
        <v>71</v>
      </c>
      <c r="G135" s="14">
        <v>70</v>
      </c>
      <c r="H135" s="14">
        <v>69</v>
      </c>
      <c r="I135" s="14">
        <v>70</v>
      </c>
      <c r="J135" s="14">
        <v>69</v>
      </c>
      <c r="AA135" s="127"/>
    </row>
    <row r="136" spans="2:27" s="3" customFormat="1">
      <c r="B136" s="3" t="s">
        <v>159</v>
      </c>
      <c r="C136" s="14" t="s">
        <v>98</v>
      </c>
      <c r="D136" s="14" t="s">
        <v>98</v>
      </c>
      <c r="E136" s="14" t="s">
        <v>98</v>
      </c>
      <c r="F136" s="14">
        <v>413</v>
      </c>
      <c r="G136" s="14" t="s">
        <v>98</v>
      </c>
      <c r="H136" s="14" t="s">
        <v>98</v>
      </c>
      <c r="I136" s="14" t="s">
        <v>98</v>
      </c>
      <c r="J136" s="14">
        <v>413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 t="s">
        <v>98</v>
      </c>
      <c r="D137" s="14" t="s">
        <v>98</v>
      </c>
      <c r="E137" s="14" t="s">
        <v>98</v>
      </c>
      <c r="F137" s="14">
        <v>360</v>
      </c>
      <c r="G137" s="14" t="s">
        <v>98</v>
      </c>
      <c r="H137" s="14" t="s">
        <v>98</v>
      </c>
      <c r="I137" s="14" t="s">
        <v>98</v>
      </c>
      <c r="J137" s="14">
        <v>356</v>
      </c>
      <c r="AA137" s="127"/>
    </row>
    <row r="138" spans="2:27" s="3" customFormat="1">
      <c r="B138" s="3" t="s">
        <v>161</v>
      </c>
      <c r="C138" s="14" t="s">
        <v>98</v>
      </c>
      <c r="D138" s="14" t="s">
        <v>98</v>
      </c>
      <c r="E138" s="14" t="s">
        <v>98</v>
      </c>
      <c r="F138" s="14">
        <v>8</v>
      </c>
      <c r="G138" s="14" t="s">
        <v>98</v>
      </c>
      <c r="H138" s="14" t="s">
        <v>98</v>
      </c>
      <c r="I138" s="14" t="s">
        <v>98</v>
      </c>
      <c r="J138" s="14">
        <v>4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 t="s">
        <v>98</v>
      </c>
      <c r="D139" s="14" t="s">
        <v>98</v>
      </c>
      <c r="E139" s="14" t="s">
        <v>98</v>
      </c>
      <c r="F139" s="14">
        <v>86</v>
      </c>
      <c r="G139" s="14" t="s">
        <v>98</v>
      </c>
      <c r="H139" s="14" t="s">
        <v>98</v>
      </c>
      <c r="I139" s="14" t="s">
        <v>98</v>
      </c>
      <c r="J139" s="14">
        <v>70</v>
      </c>
      <c r="AA139" s="127"/>
    </row>
    <row r="140" spans="2:27" s="3" customFormat="1">
      <c r="B140" s="3" t="s">
        <v>163</v>
      </c>
      <c r="C140" s="14" t="s">
        <v>98</v>
      </c>
      <c r="D140" s="14" t="s">
        <v>98</v>
      </c>
      <c r="E140" s="14" t="s">
        <v>98</v>
      </c>
      <c r="F140" s="14">
        <v>0</v>
      </c>
      <c r="G140" s="14" t="s">
        <v>98</v>
      </c>
      <c r="H140" s="14" t="s">
        <v>98</v>
      </c>
      <c r="I140" s="14" t="s">
        <v>98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 t="s">
        <v>98</v>
      </c>
      <c r="D141" s="14" t="s">
        <v>98</v>
      </c>
      <c r="E141" s="14" t="s">
        <v>98</v>
      </c>
      <c r="F141" s="14">
        <v>-157</v>
      </c>
      <c r="G141" s="14" t="s">
        <v>98</v>
      </c>
      <c r="H141" s="14" t="s">
        <v>98</v>
      </c>
      <c r="I141" s="14" t="s">
        <v>98</v>
      </c>
      <c r="J141" s="14">
        <v>-128</v>
      </c>
      <c r="AA141" s="127"/>
    </row>
    <row r="142" spans="2:27" s="3" customFormat="1">
      <c r="B142" s="3" t="s">
        <v>165</v>
      </c>
      <c r="C142" s="14" t="s">
        <v>98</v>
      </c>
      <c r="D142" s="14" t="s">
        <v>98</v>
      </c>
      <c r="E142" s="14" t="s">
        <v>98</v>
      </c>
      <c r="F142" s="14">
        <v>0</v>
      </c>
      <c r="G142" s="14" t="s">
        <v>98</v>
      </c>
      <c r="H142" s="14" t="s">
        <v>98</v>
      </c>
      <c r="I142" s="14" t="s">
        <v>98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 t="s">
        <v>98</v>
      </c>
      <c r="D143" s="14" t="s">
        <v>98</v>
      </c>
      <c r="E143" s="14" t="s">
        <v>98</v>
      </c>
      <c r="F143" s="14">
        <v>0</v>
      </c>
      <c r="G143" s="14" t="s">
        <v>98</v>
      </c>
      <c r="H143" s="14" t="s">
        <v>98</v>
      </c>
      <c r="I143" s="14" t="s">
        <v>98</v>
      </c>
      <c r="J143" s="14">
        <v>0</v>
      </c>
      <c r="AA143" s="127"/>
    </row>
    <row r="144" spans="2:27" s="3" customFormat="1">
      <c r="B144" s="3" t="s">
        <v>167</v>
      </c>
      <c r="C144" s="14">
        <v>707</v>
      </c>
      <c r="D144" s="14">
        <v>709</v>
      </c>
      <c r="E144" s="14">
        <v>709</v>
      </c>
      <c r="F144" s="14">
        <v>710</v>
      </c>
      <c r="G144" s="14">
        <v>714</v>
      </c>
      <c r="H144" s="14">
        <v>715</v>
      </c>
      <c r="I144" s="14">
        <v>723</v>
      </c>
      <c r="J144" s="14">
        <v>714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39</v>
      </c>
      <c r="D145" s="14">
        <v>41</v>
      </c>
      <c r="E145" s="14">
        <v>41</v>
      </c>
      <c r="F145" s="14">
        <v>39</v>
      </c>
      <c r="G145" s="14">
        <v>41</v>
      </c>
      <c r="H145" s="14">
        <v>40</v>
      </c>
      <c r="I145" s="14">
        <v>36</v>
      </c>
      <c r="J145" s="14">
        <v>35</v>
      </c>
      <c r="AA145" s="127"/>
    </row>
    <row r="146" spans="2:27" s="3" customFormat="1">
      <c r="B146" s="3" t="s">
        <v>169</v>
      </c>
      <c r="C146" s="14">
        <v>7</v>
      </c>
      <c r="D146" s="14">
        <v>7</v>
      </c>
      <c r="E146" s="14">
        <v>6</v>
      </c>
      <c r="F146" s="14">
        <v>7</v>
      </c>
      <c r="G146" s="14">
        <v>19</v>
      </c>
      <c r="H146" s="14">
        <v>20</v>
      </c>
      <c r="I146" s="14">
        <v>22</v>
      </c>
      <c r="J146" s="14">
        <v>24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15</v>
      </c>
      <c r="D147" s="14">
        <v>15</v>
      </c>
      <c r="E147" s="14">
        <v>13</v>
      </c>
      <c r="F147" s="14">
        <v>13</v>
      </c>
      <c r="G147" s="14">
        <v>12</v>
      </c>
      <c r="H147" s="14">
        <v>12</v>
      </c>
      <c r="I147" s="14">
        <v>12</v>
      </c>
      <c r="J147" s="14">
        <v>12</v>
      </c>
      <c r="AA147" s="127"/>
    </row>
    <row r="148" spans="2:27" s="3" customFormat="1">
      <c r="B148" s="3" t="s">
        <v>171</v>
      </c>
      <c r="C148" s="14">
        <v>62</v>
      </c>
      <c r="D148" s="14">
        <v>63</v>
      </c>
      <c r="E148" s="14">
        <v>60</v>
      </c>
      <c r="F148" s="14">
        <v>59</v>
      </c>
      <c r="G148" s="14">
        <v>73</v>
      </c>
      <c r="H148" s="14">
        <v>72</v>
      </c>
      <c r="I148" s="14">
        <v>70</v>
      </c>
      <c r="J148" s="14">
        <v>71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2696</v>
      </c>
      <c r="D149" s="14">
        <v>3172</v>
      </c>
      <c r="E149" s="14">
        <v>3038</v>
      </c>
      <c r="F149" s="14">
        <v>2991</v>
      </c>
      <c r="G149" s="14">
        <v>2842</v>
      </c>
      <c r="H149" s="14">
        <v>2990</v>
      </c>
      <c r="I149" s="14">
        <v>2789</v>
      </c>
      <c r="J149" s="14">
        <v>2692</v>
      </c>
      <c r="AA149" s="127"/>
    </row>
    <row r="150" spans="2:27" s="3" customFormat="1">
      <c r="B150" s="3" t="s">
        <v>193</v>
      </c>
      <c r="C150" s="14">
        <v>18</v>
      </c>
      <c r="D150" s="14">
        <v>243</v>
      </c>
      <c r="E150" s="14">
        <v>40</v>
      </c>
      <c r="F150" s="14">
        <v>17</v>
      </c>
      <c r="G150" s="14">
        <v>18</v>
      </c>
      <c r="H150" s="14">
        <v>19</v>
      </c>
      <c r="I150" s="14">
        <v>32</v>
      </c>
      <c r="J150" s="14">
        <v>31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7"/>
    </row>
    <row r="152" spans="2:27" s="3" customFormat="1">
      <c r="B152" s="3" t="s">
        <v>16</v>
      </c>
      <c r="C152" s="14">
        <v>226</v>
      </c>
      <c r="D152" s="14">
        <v>161</v>
      </c>
      <c r="E152" s="14">
        <v>179</v>
      </c>
      <c r="F152" s="14">
        <v>207</v>
      </c>
      <c r="G152" s="14">
        <v>299</v>
      </c>
      <c r="H152" s="14">
        <v>237</v>
      </c>
      <c r="I152" s="14">
        <v>133</v>
      </c>
      <c r="J152" s="14">
        <v>221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219</v>
      </c>
      <c r="D153" s="14">
        <v>181</v>
      </c>
      <c r="E153" s="14">
        <v>159</v>
      </c>
      <c r="F153" s="14">
        <v>171</v>
      </c>
      <c r="G153" s="14">
        <v>202</v>
      </c>
      <c r="H153" s="14">
        <v>168</v>
      </c>
      <c r="I153" s="14">
        <v>133</v>
      </c>
      <c r="J153" s="14">
        <v>122</v>
      </c>
      <c r="AA153" s="127"/>
    </row>
    <row r="154" spans="2:27" s="3" customFormat="1">
      <c r="B154" s="3" t="s">
        <v>173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43</v>
      </c>
      <c r="D155" s="14">
        <v>457</v>
      </c>
      <c r="E155" s="14">
        <v>44</v>
      </c>
      <c r="F155" s="14">
        <v>60</v>
      </c>
      <c r="G155" s="14">
        <v>50</v>
      </c>
      <c r="H155" s="14">
        <v>442</v>
      </c>
      <c r="I155" s="14">
        <v>33</v>
      </c>
      <c r="J155" s="14">
        <v>44</v>
      </c>
      <c r="AA155" s="127"/>
    </row>
    <row r="156" spans="2:27" s="3" customFormat="1">
      <c r="B156" s="3" t="s">
        <v>175</v>
      </c>
      <c r="C156" s="14">
        <v>17</v>
      </c>
      <c r="D156" s="14">
        <v>44</v>
      </c>
      <c r="E156" s="14">
        <v>68</v>
      </c>
      <c r="F156" s="14">
        <v>48</v>
      </c>
      <c r="G156" s="14">
        <v>43</v>
      </c>
      <c r="H156" s="14">
        <v>49</v>
      </c>
      <c r="I156" s="14">
        <v>31</v>
      </c>
      <c r="J156" s="14">
        <v>19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5</v>
      </c>
      <c r="D157" s="14">
        <v>4</v>
      </c>
      <c r="E157" s="14">
        <v>5</v>
      </c>
      <c r="F157" s="14">
        <v>5</v>
      </c>
      <c r="G157" s="14">
        <v>5</v>
      </c>
      <c r="H157" s="14">
        <v>5</v>
      </c>
      <c r="I157" s="14">
        <v>5</v>
      </c>
      <c r="J157" s="14">
        <v>3</v>
      </c>
      <c r="AA157" s="127"/>
    </row>
    <row r="158" spans="2:27" s="3" customFormat="1">
      <c r="B158" s="3" t="s">
        <v>177</v>
      </c>
      <c r="C158" s="14">
        <v>21</v>
      </c>
      <c r="D158" s="14">
        <v>13</v>
      </c>
      <c r="E158" s="14">
        <v>19</v>
      </c>
      <c r="F158" s="14">
        <v>30</v>
      </c>
      <c r="G158" s="14">
        <v>32</v>
      </c>
      <c r="H158" s="14">
        <v>34</v>
      </c>
      <c r="I158" s="14">
        <v>13</v>
      </c>
      <c r="J158" s="14">
        <v>10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550</v>
      </c>
      <c r="D159" s="14">
        <v>1104</v>
      </c>
      <c r="E159" s="14">
        <v>514</v>
      </c>
      <c r="F159" s="14">
        <v>538</v>
      </c>
      <c r="G159" s="14">
        <v>649</v>
      </c>
      <c r="H159" s="14">
        <v>955</v>
      </c>
      <c r="I159" s="14">
        <v>379</v>
      </c>
      <c r="J159" s="14">
        <v>451</v>
      </c>
      <c r="AA159" s="127"/>
    </row>
    <row r="160" spans="2:27" s="3" customFormat="1">
      <c r="B160" s="3" t="s">
        <v>179</v>
      </c>
      <c r="C160" s="14">
        <v>51</v>
      </c>
      <c r="D160" s="14">
        <v>49</v>
      </c>
      <c r="E160" s="14">
        <v>51</v>
      </c>
      <c r="F160" s="14">
        <v>53</v>
      </c>
      <c r="G160" s="14">
        <v>57</v>
      </c>
      <c r="H160" s="14">
        <v>62</v>
      </c>
      <c r="I160" s="14">
        <v>64</v>
      </c>
      <c r="J160" s="14">
        <v>62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12</v>
      </c>
      <c r="D162" s="14">
        <v>12</v>
      </c>
      <c r="E162" s="14">
        <v>12</v>
      </c>
      <c r="F162" s="14">
        <v>12</v>
      </c>
      <c r="G162" s="14">
        <v>12</v>
      </c>
      <c r="H162" s="14">
        <v>12</v>
      </c>
      <c r="I162" s="14">
        <v>12</v>
      </c>
      <c r="J162" s="14">
        <v>12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10</v>
      </c>
      <c r="D163" s="14">
        <v>3</v>
      </c>
      <c r="E163" s="14">
        <v>3</v>
      </c>
      <c r="F163" s="14">
        <v>10</v>
      </c>
      <c r="G163" s="14">
        <v>5</v>
      </c>
      <c r="H163" s="14">
        <v>17</v>
      </c>
      <c r="I163" s="14">
        <v>18</v>
      </c>
      <c r="J163" s="14">
        <v>13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41</v>
      </c>
      <c r="D165" s="14">
        <v>41</v>
      </c>
      <c r="E165" s="14">
        <v>40</v>
      </c>
      <c r="F165" s="14">
        <v>40</v>
      </c>
      <c r="G165" s="14">
        <v>40</v>
      </c>
      <c r="H165" s="14">
        <v>38</v>
      </c>
      <c r="I165" s="14">
        <v>38</v>
      </c>
      <c r="J165" s="14">
        <v>37</v>
      </c>
      <c r="AA165" s="127"/>
    </row>
    <row r="166" spans="2:27" s="3" customFormat="1">
      <c r="B166" s="3" t="s">
        <v>185</v>
      </c>
      <c r="C166" s="14">
        <v>1</v>
      </c>
      <c r="D166" s="14">
        <v>1</v>
      </c>
      <c r="E166" s="14">
        <v>1</v>
      </c>
      <c r="F166" s="14">
        <v>1</v>
      </c>
      <c r="G166" s="14">
        <v>1</v>
      </c>
      <c r="H166" s="14">
        <v>1</v>
      </c>
      <c r="I166" s="14">
        <v>1</v>
      </c>
      <c r="J166" s="14">
        <v>1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65</v>
      </c>
      <c r="D167" s="14">
        <v>57</v>
      </c>
      <c r="E167" s="14">
        <v>56</v>
      </c>
      <c r="F167" s="14">
        <v>63</v>
      </c>
      <c r="G167" s="14">
        <v>58</v>
      </c>
      <c r="H167" s="14">
        <v>68</v>
      </c>
      <c r="I167" s="14">
        <v>69</v>
      </c>
      <c r="J167" s="14">
        <v>63</v>
      </c>
      <c r="AA167" s="127"/>
    </row>
    <row r="168" spans="2:27" s="3" customFormat="1">
      <c r="B168" s="3" t="s">
        <v>17</v>
      </c>
      <c r="C168" s="14">
        <v>667</v>
      </c>
      <c r="D168" s="14">
        <v>1210</v>
      </c>
      <c r="E168" s="14">
        <v>622</v>
      </c>
      <c r="F168" s="14">
        <v>655</v>
      </c>
      <c r="G168" s="14">
        <v>764</v>
      </c>
      <c r="H168" s="14">
        <v>1085</v>
      </c>
      <c r="I168" s="14">
        <v>512</v>
      </c>
      <c r="J168" s="14">
        <v>576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2029</v>
      </c>
      <c r="D169" s="14">
        <v>1962</v>
      </c>
      <c r="E169" s="14">
        <v>2416</v>
      </c>
      <c r="F169" s="14">
        <v>2336</v>
      </c>
      <c r="G169" s="14">
        <v>2078</v>
      </c>
      <c r="H169" s="14">
        <v>1904</v>
      </c>
      <c r="I169" s="14">
        <v>2277</v>
      </c>
      <c r="J169" s="14">
        <v>2117</v>
      </c>
      <c r="AA169" s="127"/>
    </row>
    <row r="170" spans="2:27" s="3" customFormat="1">
      <c r="B170" s="3" t="s">
        <v>195</v>
      </c>
      <c r="C170" s="14">
        <v>1042</v>
      </c>
      <c r="D170" s="14">
        <v>1042</v>
      </c>
      <c r="E170" s="14">
        <v>1042</v>
      </c>
      <c r="F170" s="14">
        <v>1042</v>
      </c>
      <c r="G170" s="14">
        <v>1042</v>
      </c>
      <c r="H170" s="14">
        <v>1042</v>
      </c>
      <c r="I170" s="14">
        <v>1042</v>
      </c>
      <c r="J170" s="14">
        <v>1042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182</v>
      </c>
      <c r="D172" s="14">
        <v>182</v>
      </c>
      <c r="E172" s="14">
        <v>182</v>
      </c>
      <c r="F172" s="14">
        <v>182</v>
      </c>
      <c r="G172" s="14">
        <v>111</v>
      </c>
      <c r="H172" s="14">
        <v>111</v>
      </c>
      <c r="I172" s="14">
        <v>111</v>
      </c>
      <c r="J172" s="14">
        <v>111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375</v>
      </c>
      <c r="D173" s="14">
        <v>375</v>
      </c>
      <c r="E173" s="14">
        <v>316</v>
      </c>
      <c r="F173" s="14">
        <v>316</v>
      </c>
      <c r="G173" s="14">
        <v>316</v>
      </c>
      <c r="H173" s="14">
        <v>316</v>
      </c>
      <c r="I173" s="14">
        <v>258</v>
      </c>
      <c r="J173" s="14">
        <v>258</v>
      </c>
      <c r="AA173" s="127"/>
    </row>
    <row r="174" spans="2:27" s="3" customFormat="1">
      <c r="B174" s="3" t="s">
        <v>199</v>
      </c>
      <c r="C174" s="14">
        <v>0</v>
      </c>
      <c r="D174" s="14">
        <v>0</v>
      </c>
      <c r="E174" s="14">
        <v>7</v>
      </c>
      <c r="F174" s="14">
        <v>7</v>
      </c>
      <c r="G174" s="14">
        <v>7</v>
      </c>
      <c r="H174" s="14">
        <v>7</v>
      </c>
      <c r="I174" s="14">
        <v>7</v>
      </c>
      <c r="J174" s="14">
        <v>7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735</v>
      </c>
      <c r="D175" s="14">
        <v>565</v>
      </c>
      <c r="E175" s="14">
        <v>962</v>
      </c>
      <c r="F175" s="14">
        <v>881</v>
      </c>
      <c r="G175" s="14">
        <v>743</v>
      </c>
      <c r="H175" s="14">
        <v>570</v>
      </c>
      <c r="I175" s="14">
        <v>920</v>
      </c>
      <c r="J175" s="14">
        <v>760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1</v>
      </c>
      <c r="I177" s="14">
        <v>2</v>
      </c>
      <c r="J177" s="14">
        <v>2</v>
      </c>
      <c r="AA177" s="127"/>
    </row>
    <row r="178" spans="2:27" s="3" customFormat="1">
      <c r="B178" s="3" t="s">
        <v>189</v>
      </c>
      <c r="C178" s="14">
        <v>2696</v>
      </c>
      <c r="D178" s="14">
        <v>3172</v>
      </c>
      <c r="E178" s="14">
        <v>3038</v>
      </c>
      <c r="F178" s="14">
        <v>2991</v>
      </c>
      <c r="G178" s="14">
        <v>2842</v>
      </c>
      <c r="H178" s="14">
        <v>2990</v>
      </c>
      <c r="I178" s="14">
        <v>2789</v>
      </c>
      <c r="J178" s="14">
        <v>2692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170</v>
      </c>
      <c r="D224" s="14">
        <v>66</v>
      </c>
      <c r="E224" s="14">
        <v>81</v>
      </c>
      <c r="F224" s="14">
        <v>139</v>
      </c>
      <c r="G224" s="14">
        <v>173</v>
      </c>
      <c r="H224" s="14">
        <v>115</v>
      </c>
      <c r="I224" s="14">
        <v>159</v>
      </c>
      <c r="J224" s="14">
        <v>242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6</v>
      </c>
      <c r="D226" s="14">
        <v>6</v>
      </c>
      <c r="E226" s="14">
        <v>6</v>
      </c>
      <c r="F226" s="14">
        <v>8</v>
      </c>
      <c r="G226" s="14">
        <v>9</v>
      </c>
      <c r="H226" s="14">
        <v>8</v>
      </c>
      <c r="I226" s="14">
        <v>8</v>
      </c>
      <c r="J226" s="14">
        <v>8</v>
      </c>
      <c r="AA226" s="62"/>
    </row>
    <row r="227" spans="2:27" s="3" customFormat="1">
      <c r="B227" s="3" t="s">
        <v>115</v>
      </c>
      <c r="C227" s="14">
        <v>1</v>
      </c>
      <c r="D227" s="14">
        <v>1</v>
      </c>
      <c r="E227" s="14">
        <v>1</v>
      </c>
      <c r="F227" s="14">
        <v>1</v>
      </c>
      <c r="G227" s="14">
        <v>2</v>
      </c>
      <c r="H227" s="14">
        <v>2</v>
      </c>
      <c r="I227" s="14">
        <v>2</v>
      </c>
      <c r="J227" s="14">
        <v>2</v>
      </c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0</v>
      </c>
      <c r="G232" s="14">
        <v>0</v>
      </c>
      <c r="H232" s="14">
        <v>0</v>
      </c>
      <c r="I232" s="14">
        <v>0</v>
      </c>
      <c r="J232" s="14">
        <v>0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-70</v>
      </c>
      <c r="D235" s="14">
        <v>-50</v>
      </c>
      <c r="E235" s="14">
        <v>61</v>
      </c>
      <c r="F235" s="14">
        <v>10</v>
      </c>
      <c r="G235" s="14">
        <v>-81</v>
      </c>
      <c r="H235" s="14">
        <v>-54</v>
      </c>
      <c r="I235" s="14">
        <v>-19</v>
      </c>
      <c r="J235" s="14">
        <v>17</v>
      </c>
      <c r="P235" s="67"/>
      <c r="W235" s="46"/>
    </row>
    <row r="236" spans="2:27">
      <c r="B236" s="3" t="s">
        <v>124</v>
      </c>
      <c r="C236" s="14">
        <v>12</v>
      </c>
      <c r="D236" s="14">
        <v>19</v>
      </c>
      <c r="E236" s="14">
        <v>-16</v>
      </c>
      <c r="F236" s="14">
        <v>28</v>
      </c>
      <c r="G236" s="14">
        <v>-36</v>
      </c>
      <c r="H236" s="14">
        <v>-9</v>
      </c>
      <c r="I236" s="14">
        <v>62</v>
      </c>
      <c r="J236" s="14">
        <v>-26</v>
      </c>
    </row>
    <row r="237" spans="2:27">
      <c r="B237" s="3" t="s">
        <v>125</v>
      </c>
      <c r="C237" s="14">
        <v>65</v>
      </c>
      <c r="D237" s="14">
        <v>-18</v>
      </c>
      <c r="E237" s="14">
        <v>-28</v>
      </c>
      <c r="F237" s="14">
        <v>-92</v>
      </c>
      <c r="G237" s="14">
        <v>61</v>
      </c>
      <c r="H237" s="14">
        <v>105</v>
      </c>
      <c r="I237" s="14">
        <v>-89</v>
      </c>
      <c r="J237" s="14">
        <v>-34</v>
      </c>
      <c r="P237" s="67"/>
      <c r="W237" s="46"/>
    </row>
    <row r="238" spans="2:27">
      <c r="B238" s="3" t="s">
        <v>126</v>
      </c>
      <c r="C238" s="14">
        <v>7</v>
      </c>
      <c r="D238" s="14">
        <v>43</v>
      </c>
      <c r="E238" s="14">
        <v>62</v>
      </c>
      <c r="F238" s="14">
        <v>-64</v>
      </c>
      <c r="G238" s="14">
        <v>-5</v>
      </c>
      <c r="H238" s="14">
        <v>3</v>
      </c>
      <c r="I238" s="14">
        <v>72</v>
      </c>
      <c r="J238" s="14">
        <v>-51</v>
      </c>
    </row>
    <row r="239" spans="2:27">
      <c r="B239" s="3" t="s">
        <v>19</v>
      </c>
      <c r="C239" s="14">
        <v>191</v>
      </c>
      <c r="D239" s="14">
        <v>68</v>
      </c>
      <c r="E239" s="14">
        <v>166</v>
      </c>
      <c r="F239" s="14">
        <v>105</v>
      </c>
      <c r="G239" s="14">
        <v>447</v>
      </c>
      <c r="H239" s="14">
        <v>145</v>
      </c>
      <c r="I239" s="14">
        <v>126</v>
      </c>
      <c r="J239" s="14">
        <v>10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>
        <v>0</v>
      </c>
      <c r="P243" s="67"/>
      <c r="W243" s="46"/>
    </row>
    <row r="244" spans="2:23">
      <c r="B244" s="3" t="s">
        <v>20</v>
      </c>
      <c r="C244" s="14">
        <v>-5</v>
      </c>
      <c r="D244" s="14">
        <v>-4</v>
      </c>
      <c r="E244" s="14">
        <v>-4</v>
      </c>
      <c r="F244" s="14">
        <v>-5</v>
      </c>
      <c r="G244" s="14">
        <v>-6</v>
      </c>
      <c r="H244" s="14">
        <v>-1</v>
      </c>
      <c r="I244" s="14">
        <v>-5</v>
      </c>
      <c r="J244" s="14">
        <v>-3</v>
      </c>
    </row>
    <row r="245" spans="2:23">
      <c r="B245" s="3" t="s">
        <v>130</v>
      </c>
      <c r="C245" s="14">
        <v>0</v>
      </c>
      <c r="D245" s="14">
        <v>-2</v>
      </c>
      <c r="E245" s="14">
        <v>1</v>
      </c>
      <c r="F245" s="14">
        <v>-26</v>
      </c>
      <c r="G245" s="14">
        <v>0</v>
      </c>
      <c r="H245" s="14">
        <v>1</v>
      </c>
      <c r="I245" s="14">
        <v>1</v>
      </c>
      <c r="J245" s="14">
        <v>0</v>
      </c>
      <c r="P245" s="67"/>
      <c r="W245" s="46"/>
    </row>
    <row r="246" spans="2:23">
      <c r="B246" s="3" t="s">
        <v>131</v>
      </c>
      <c r="C246" s="14">
        <v>-5</v>
      </c>
      <c r="D246" s="14">
        <v>-6</v>
      </c>
      <c r="E246" s="14">
        <v>-3</v>
      </c>
      <c r="F246" s="14">
        <v>-31</v>
      </c>
      <c r="G246" s="14">
        <v>-6</v>
      </c>
      <c r="H246" s="14">
        <v>1</v>
      </c>
      <c r="I246" s="14">
        <v>-4</v>
      </c>
      <c r="J246" s="14">
        <v>-3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-412</v>
      </c>
      <c r="D248" s="14">
        <v>0</v>
      </c>
      <c r="E248" s="14">
        <v>0</v>
      </c>
      <c r="F248" s="14">
        <v>0</v>
      </c>
      <c r="G248" s="14">
        <v>-408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-225</v>
      </c>
      <c r="D250" s="14">
        <v>202</v>
      </c>
      <c r="E250" s="14">
        <v>23</v>
      </c>
      <c r="F250" s="14">
        <v>-1</v>
      </c>
      <c r="G250" s="14">
        <v>-1</v>
      </c>
      <c r="H250" s="14">
        <v>-12</v>
      </c>
      <c r="I250" s="14">
        <v>1</v>
      </c>
      <c r="J250" s="14">
        <v>-165</v>
      </c>
    </row>
    <row r="251" spans="2:23">
      <c r="B251" s="3" t="s">
        <v>136</v>
      </c>
      <c r="C251" s="14">
        <v>3</v>
      </c>
      <c r="D251" s="14">
        <v>-3</v>
      </c>
      <c r="E251" s="14">
        <v>-2</v>
      </c>
      <c r="F251" s="14">
        <v>-4</v>
      </c>
      <c r="G251" s="14">
        <v>-5</v>
      </c>
      <c r="H251" s="14">
        <v>-1</v>
      </c>
      <c r="I251" s="14">
        <v>3</v>
      </c>
      <c r="J251" s="14">
        <v>-4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-101</v>
      </c>
      <c r="D254" s="14">
        <v>-108</v>
      </c>
      <c r="E254" s="14">
        <v>0</v>
      </c>
      <c r="F254" s="14">
        <v>-17</v>
      </c>
      <c r="G254" s="14">
        <v>0</v>
      </c>
      <c r="H254" s="14">
        <v>-78</v>
      </c>
      <c r="I254" s="14">
        <v>0</v>
      </c>
      <c r="J254" s="14">
        <v>0</v>
      </c>
    </row>
    <row r="255" spans="2:23">
      <c r="B255" s="3" t="s">
        <v>140</v>
      </c>
      <c r="C255" s="14">
        <v>-6</v>
      </c>
      <c r="D255" s="14">
        <v>1</v>
      </c>
      <c r="E255" s="14">
        <v>1</v>
      </c>
      <c r="F255" s="14">
        <v>3</v>
      </c>
      <c r="G255" s="14">
        <v>4</v>
      </c>
      <c r="H255" s="14">
        <v>0</v>
      </c>
      <c r="I255" s="14">
        <v>-4</v>
      </c>
      <c r="J255" s="14">
        <v>4</v>
      </c>
      <c r="P255" s="67"/>
      <c r="W255" s="46"/>
    </row>
    <row r="256" spans="2:23">
      <c r="B256" s="3" t="s">
        <v>141</v>
      </c>
      <c r="C256" s="14">
        <v>-740</v>
      </c>
      <c r="D256" s="14">
        <v>93</v>
      </c>
      <c r="E256" s="14">
        <v>22</v>
      </c>
      <c r="F256" s="14">
        <v>44</v>
      </c>
      <c r="G256" s="14">
        <v>-410</v>
      </c>
      <c r="H256" s="14">
        <v>-91</v>
      </c>
      <c r="I256" s="14">
        <v>0</v>
      </c>
      <c r="J256" s="14">
        <v>-84</v>
      </c>
    </row>
    <row r="257" spans="2:23">
      <c r="B257" s="3" t="s">
        <v>142</v>
      </c>
      <c r="C257" s="14">
        <v>37</v>
      </c>
      <c r="D257" s="14">
        <v>-14</v>
      </c>
      <c r="E257" s="14">
        <v>-11</v>
      </c>
      <c r="F257" s="14">
        <v>30</v>
      </c>
      <c r="G257" s="14">
        <v>11</v>
      </c>
      <c r="H257" s="14">
        <v>-11</v>
      </c>
      <c r="I257" s="14">
        <v>11</v>
      </c>
      <c r="J257" s="14">
        <v>4</v>
      </c>
      <c r="P257" s="67"/>
      <c r="W257" s="46"/>
    </row>
    <row r="258" spans="2:23">
      <c r="B258" s="3" t="s">
        <v>143</v>
      </c>
      <c r="C258" s="14">
        <v>-517</v>
      </c>
      <c r="D258" s="14">
        <v>141</v>
      </c>
      <c r="E258" s="14">
        <v>173</v>
      </c>
      <c r="F258" s="14">
        <v>149</v>
      </c>
      <c r="G258" s="14">
        <v>42</v>
      </c>
      <c r="H258" s="14">
        <v>43</v>
      </c>
      <c r="I258" s="14">
        <v>133</v>
      </c>
      <c r="J258" s="14">
        <v>-73</v>
      </c>
    </row>
    <row r="259" spans="2:23">
      <c r="B259" s="3" t="s">
        <v>144</v>
      </c>
      <c r="C259" s="14">
        <v>1306</v>
      </c>
      <c r="D259" s="14">
        <v>1165</v>
      </c>
      <c r="E259" s="14">
        <v>992</v>
      </c>
      <c r="F259" s="14">
        <v>843</v>
      </c>
      <c r="G259" s="14">
        <v>801</v>
      </c>
      <c r="H259" s="14">
        <v>758</v>
      </c>
      <c r="I259" s="14">
        <v>626</v>
      </c>
      <c r="J259" s="14">
        <v>699</v>
      </c>
      <c r="P259" s="67"/>
      <c r="W259" s="46"/>
    </row>
    <row r="260" spans="2:23">
      <c r="B260" s="3" t="s">
        <v>145</v>
      </c>
      <c r="C260" s="14">
        <v>789</v>
      </c>
      <c r="D260" s="14">
        <v>1306</v>
      </c>
      <c r="E260" s="14">
        <v>1165</v>
      </c>
      <c r="F260" s="14">
        <v>992</v>
      </c>
      <c r="G260" s="14">
        <v>843</v>
      </c>
      <c r="H260" s="14">
        <v>801</v>
      </c>
      <c r="I260" s="14">
        <v>758</v>
      </c>
      <c r="J260" s="14">
        <v>626</v>
      </c>
    </row>
    <row r="261" spans="2:23">
      <c r="B261" s="3" t="s">
        <v>146</v>
      </c>
      <c r="C261" s="14">
        <v>1</v>
      </c>
      <c r="D261" s="14">
        <v>1</v>
      </c>
      <c r="E261" s="14">
        <v>0</v>
      </c>
      <c r="F261" s="14">
        <v>0</v>
      </c>
      <c r="G261" s="14">
        <v>0</v>
      </c>
      <c r="H261" s="14">
        <v>0</v>
      </c>
      <c r="I261" s="14">
        <v>0</v>
      </c>
      <c r="J261" s="14">
        <v>1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</mergeCells>
  <phoneticPr fontId="2" type="noConversion"/>
  <hyperlinks>
    <hyperlink ref="N51" r:id="rId1" display="https://tw.stock.yahoo.com/q/bc?s=5489"/>
    <hyperlink ref="N52" r:id="rId2" display="https://tw.stock.yahoo.com/pf/pfsel?stocklist=5489;"/>
    <hyperlink ref="N54" r:id="rId3" display="https://tw.stock.yahoo.com/pf/pfsel?stocklist=5489;"/>
    <hyperlink ref="Y51" r:id="rId4" display="https://tw.stock.yahoo.com/q/ts?s=5489"/>
    <hyperlink ref="Y54" r:id="rId5" display="https://tw.rd.yahoo.com/referurl/stock/other/SIG=125v47s73/**https:/tw.screener.finance.yahoo.net/screener/check.html?symid=5489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70" r:id="rId10" name="CommandButton32"/>
    <control shapeId="1060" r:id="rId11" name="CommandButton25"/>
    <control shapeId="1059" r:id="rId12" name="CommandButton24"/>
    <control shapeId="1058" r:id="rId13" name="CommandButton23"/>
    <control shapeId="1057" r:id="rId14" name="CommandButton22"/>
    <control shapeId="1056" r:id="rId15" name="CommandButton10"/>
    <control shapeId="1040" r:id="rId16" name="CommandButton3"/>
    <control shapeId="1025" r:id="rId17" name="ComboBox1"/>
    <control shapeId="1026" r:id="rId18" name="CommandButton1"/>
    <control shapeId="1027" r:id="rId19" name="CommandButton2"/>
    <control shapeId="1028" r:id="rId20" name="CommandButton4"/>
    <control shapeId="1029" r:id="rId21" name="CommandButton5"/>
    <control shapeId="1030" r:id="rId22" name="CommandButton6"/>
    <control shapeId="1031" r:id="rId23" name="CommandButton7"/>
    <control shapeId="1032" r:id="rId24" name="CommandButton8"/>
    <control shapeId="1033" r:id="rId25" name="CommandButton9"/>
    <control shapeId="1034" r:id="rId26" name="CommandButton0"/>
    <control shapeId="1042" r:id="rId27" name="CommandButton11"/>
    <control shapeId="1044" r:id="rId28" name="CommandButton12"/>
    <control shapeId="1045" r:id="rId29" name="CommandButton13"/>
    <control shapeId="1047" r:id="rId30" name="CommandButton14"/>
    <control shapeId="1049" r:id="rId31" name="CommandButton15"/>
    <control shapeId="1050" r:id="rId32" name="CommandButton16"/>
    <control shapeId="1051" r:id="rId33" name="CommandButton17"/>
    <control shapeId="1053" r:id="rId34" name="CommandButton19"/>
    <control shapeId="1054" r:id="rId35" name="CommandButton20"/>
    <control shapeId="1055" r:id="rId36" name="CommandButton21"/>
    <control shapeId="1061" r:id="rId37" name="CommandButton26"/>
    <control shapeId="1063" r:id="rId38" name="CommandButton27"/>
    <control shapeId="1065" r:id="rId39" name="CommandButton28"/>
    <control shapeId="1066" r:id="rId40" name="CommandButton29"/>
    <control shapeId="1068" r:id="rId41" name="CommandButton30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zoomScaleNormal="100" workbookViewId="0">
      <pane xSplit="13" ySplit="3" topLeftCell="N138" activePane="bottomRight" state="frozen"/>
      <selection pane="topRight" activeCell="N1" sqref="N1"/>
      <selection pane="bottomLeft" activeCell="A4" sqref="A4"/>
      <selection pane="bottomRight" activeCell="P448" sqref="P448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60">
        <f ca="1">NOW()</f>
        <v>42386.925640393521</v>
      </c>
      <c r="B1" s="361"/>
      <c r="C1" s="372" t="s">
        <v>1956</v>
      </c>
      <c r="D1" s="373"/>
      <c r="E1" s="373"/>
      <c r="F1" s="373"/>
      <c r="G1" s="374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62" t="s">
        <v>38</v>
      </c>
      <c r="B2" s="363"/>
      <c r="C2" s="364" t="s">
        <v>250</v>
      </c>
      <c r="D2" s="365"/>
      <c r="E2" s="365"/>
      <c r="F2" s="365"/>
      <c r="G2" s="366"/>
      <c r="H2" s="369" t="s">
        <v>253</v>
      </c>
      <c r="I2" s="370"/>
      <c r="J2" s="370"/>
      <c r="K2" s="370"/>
      <c r="L2" s="370"/>
      <c r="M2" s="371"/>
      <c r="N2" s="257" t="s">
        <v>1901</v>
      </c>
      <c r="O2" s="367" t="s">
        <v>1924</v>
      </c>
      <c r="P2" s="367"/>
      <c r="Q2" s="367"/>
      <c r="R2" s="367"/>
      <c r="S2" s="368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 s="317" customFormat="1">
      <c r="A70" s="309" t="str">
        <f>HYPERLINK("http://www.wantgoo.com/stock/chart.aspx?stockno=1262","1262")</f>
        <v>1262</v>
      </c>
      <c r="B70" s="310"/>
      <c r="C70" s="311">
        <f>VLOOKUP(1262,季財報!A:H,3)</f>
        <v>0</v>
      </c>
      <c r="D70" s="311">
        <f>VLOOKUP(1262,季財報!A:H,4)</f>
        <v>1</v>
      </c>
      <c r="E70" s="311">
        <f>VLOOKUP(1262,季財報!A:H,5)</f>
        <v>1</v>
      </c>
      <c r="F70" s="311">
        <f>VLOOKUP(1262,季財報!A:H,6)</f>
        <v>1</v>
      </c>
      <c r="G70" s="311">
        <f>VLOOKUP(1262,季財報!A:H,7)</f>
        <v>0</v>
      </c>
      <c r="H70" s="312"/>
      <c r="I70" s="312"/>
      <c r="J70" s="312"/>
      <c r="K70" s="312"/>
      <c r="L70" s="312"/>
      <c r="M70" s="313"/>
      <c r="N70" s="312">
        <f t="shared" si="1"/>
        <v>3</v>
      </c>
      <c r="O70" s="314"/>
      <c r="P70" s="314"/>
      <c r="Q70" s="314"/>
      <c r="R70" s="314"/>
      <c r="S70" s="315"/>
    </row>
    <row r="71" spans="1:19" s="317" customFormat="1">
      <c r="A71" s="309" t="str">
        <f>HYPERLINK("http://www.wantgoo.com/stock/chart.aspx?stockno=3299","3299")</f>
        <v>3299</v>
      </c>
      <c r="B71" s="310"/>
      <c r="C71" s="311">
        <f>VLOOKUP(3299,季財報!A:H,3)</f>
        <v>0</v>
      </c>
      <c r="D71" s="311">
        <f>VLOOKUP(3299,季財報!A:H,4)</f>
        <v>1</v>
      </c>
      <c r="E71" s="311">
        <f>VLOOKUP(3299,季財報!A:H,5)</f>
        <v>0</v>
      </c>
      <c r="F71" s="311">
        <f>VLOOKUP(3299,季財報!A:H,6)</f>
        <v>1</v>
      </c>
      <c r="G71" s="311">
        <f>VLOOKUP(3299,季財報!A:H,7)</f>
        <v>0</v>
      </c>
      <c r="H71" s="312"/>
      <c r="I71" s="312"/>
      <c r="J71" s="312"/>
      <c r="K71" s="312"/>
      <c r="L71" s="312"/>
      <c r="M71" s="313"/>
      <c r="N71" s="312">
        <f t="shared" si="1"/>
        <v>2</v>
      </c>
      <c r="O71" s="314"/>
      <c r="P71" s="314"/>
      <c r="Q71" s="314"/>
      <c r="R71" s="314"/>
      <c r="S71" s="315"/>
    </row>
    <row r="72" spans="1:19" s="317" customFormat="1">
      <c r="A72" s="309" t="str">
        <f>HYPERLINK("http://www.wantgoo.com/stock/chart.aspx?stockno=6216","6216")</f>
        <v>6216</v>
      </c>
      <c r="B72" s="310"/>
      <c r="C72" s="311">
        <f>VLOOKUP(6216,季財報!A:H,3)</f>
        <v>0</v>
      </c>
      <c r="D72" s="311">
        <f>VLOOKUP(6216,季財報!A:H,4)</f>
        <v>1</v>
      </c>
      <c r="E72" s="311">
        <f>VLOOKUP(6216,季財報!A:H,5)</f>
        <v>0</v>
      </c>
      <c r="F72" s="311">
        <f>VLOOKUP(6216,季財報!A:H,6)</f>
        <v>1</v>
      </c>
      <c r="G72" s="311">
        <f>VLOOKUP(6216,季財報!A:H,7)</f>
        <v>0</v>
      </c>
      <c r="H72" s="312"/>
      <c r="I72" s="312"/>
      <c r="J72" s="312"/>
      <c r="K72" s="312"/>
      <c r="L72" s="312"/>
      <c r="M72" s="313"/>
      <c r="N72" s="312">
        <f t="shared" si="1"/>
        <v>2</v>
      </c>
      <c r="O72" s="314"/>
      <c r="P72" s="314"/>
      <c r="Q72" s="314"/>
      <c r="R72" s="314"/>
      <c r="S72" s="315"/>
    </row>
    <row r="73" spans="1:19" s="317" customFormat="1">
      <c r="A73" s="309" t="str">
        <f>HYPERLINK("http://www.wantgoo.com/stock/chart.aspx?stockno=2441","2441")</f>
        <v>2441</v>
      </c>
      <c r="B73" s="310"/>
      <c r="C73" s="311">
        <f>VLOOKUP(2441,季財報!A:H,3)</f>
        <v>0</v>
      </c>
      <c r="D73" s="311">
        <f>VLOOKUP(2441,季財報!A:H,4)</f>
        <v>1</v>
      </c>
      <c r="E73" s="311">
        <f>VLOOKUP(2441,季財報!A:H,5)</f>
        <v>0</v>
      </c>
      <c r="F73" s="311">
        <f>VLOOKUP(2441,季財報!A:H,6)</f>
        <v>1</v>
      </c>
      <c r="G73" s="311">
        <f>VLOOKUP(2441,季財報!A:H,7)</f>
        <v>0</v>
      </c>
      <c r="H73" s="312"/>
      <c r="I73" s="312"/>
      <c r="J73" s="312"/>
      <c r="K73" s="312"/>
      <c r="L73" s="312"/>
      <c r="M73" s="313"/>
      <c r="N73" s="312">
        <f t="shared" si="1"/>
        <v>2</v>
      </c>
      <c r="O73" s="314"/>
      <c r="P73" s="314"/>
      <c r="Q73" s="314"/>
      <c r="R73" s="314"/>
      <c r="S73" s="315"/>
    </row>
    <row r="74" spans="1:19" s="317" customFormat="1">
      <c r="A74" s="309" t="str">
        <f>HYPERLINK("http://www.wantgoo.com/stock/chart.aspx?stockno=1527","1527")</f>
        <v>1527</v>
      </c>
      <c r="B74" s="310"/>
      <c r="C74" s="311">
        <f>VLOOKUP(1527,季財報!A:H,3)</f>
        <v>1</v>
      </c>
      <c r="D74" s="311">
        <f>VLOOKUP(1527,季財報!A:H,4)</f>
        <v>1</v>
      </c>
      <c r="E74" s="311">
        <f>VLOOKUP(1527,季財報!A:H,5)</f>
        <v>0</v>
      </c>
      <c r="F74" s="311">
        <f>VLOOKUP(1527,季財報!A:H,6)</f>
        <v>0</v>
      </c>
      <c r="G74" s="311">
        <f>VLOOKUP(1527,季財報!A:H,7)</f>
        <v>1</v>
      </c>
      <c r="H74" s="312"/>
      <c r="I74" s="312"/>
      <c r="J74" s="312"/>
      <c r="K74" s="312"/>
      <c r="L74" s="312"/>
      <c r="M74" s="313"/>
      <c r="N74" s="312">
        <f t="shared" si="1"/>
        <v>3</v>
      </c>
      <c r="O74" s="314"/>
      <c r="P74" s="314"/>
      <c r="Q74" s="314"/>
      <c r="R74" s="314"/>
      <c r="S74" s="315"/>
    </row>
    <row r="75" spans="1:19" s="317" customFormat="1">
      <c r="A75" s="309" t="str">
        <f>HYPERLINK("http://www.wantgoo.com/stock/chart.aspx?stockno=3264","3264")</f>
        <v>3264</v>
      </c>
      <c r="B75" s="310"/>
      <c r="C75" s="311">
        <f>VLOOKUP(3264,季財報!A:H,3)</f>
        <v>0</v>
      </c>
      <c r="D75" s="311">
        <f>VLOOKUP(3264,季財報!A:H,4)</f>
        <v>1</v>
      </c>
      <c r="E75" s="311">
        <f>VLOOKUP(3264,季財報!A:H,5)</f>
        <v>2</v>
      </c>
      <c r="F75" s="311">
        <f>VLOOKUP(3264,季財報!A:H,6)</f>
        <v>1</v>
      </c>
      <c r="G75" s="311">
        <f>VLOOKUP(3264,季財報!A:H,7)</f>
        <v>0</v>
      </c>
      <c r="H75" s="312"/>
      <c r="I75" s="312"/>
      <c r="J75" s="312"/>
      <c r="K75" s="312"/>
      <c r="L75" s="312"/>
      <c r="M75" s="313"/>
      <c r="N75" s="312">
        <f t="shared" si="1"/>
        <v>4</v>
      </c>
      <c r="O75" s="314"/>
      <c r="P75" s="314"/>
      <c r="Q75" s="314"/>
      <c r="R75" s="314"/>
      <c r="S75" s="315"/>
    </row>
    <row r="76" spans="1:19" s="317" customFormat="1">
      <c r="A76" s="309" t="str">
        <f>HYPERLINK("http://www.wantgoo.com/stock/chart.aspx?stockno=6185","6185")</f>
        <v>6185</v>
      </c>
      <c r="B76" s="310"/>
      <c r="C76" s="311">
        <f>VLOOKUP(6185,季財報!A:H,3)</f>
        <v>0</v>
      </c>
      <c r="D76" s="311">
        <f>VLOOKUP(6185,季財報!A:H,4)</f>
        <v>1</v>
      </c>
      <c r="E76" s="311">
        <f>VLOOKUP(6185,季財報!A:H,5)</f>
        <v>1</v>
      </c>
      <c r="F76" s="311">
        <f>VLOOKUP(6185,季財報!A:H,6)</f>
        <v>1</v>
      </c>
      <c r="G76" s="311">
        <f>VLOOKUP(6185,季財報!A:H,7)</f>
        <v>0</v>
      </c>
      <c r="H76" s="312"/>
      <c r="I76" s="312"/>
      <c r="J76" s="312"/>
      <c r="K76" s="312"/>
      <c r="L76" s="312"/>
      <c r="M76" s="313"/>
      <c r="N76" s="312">
        <f t="shared" si="1"/>
        <v>3</v>
      </c>
      <c r="O76" s="314"/>
      <c r="P76" s="314"/>
      <c r="Q76" s="314"/>
      <c r="R76" s="314"/>
      <c r="S76" s="315"/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 s="317" customFormat="1">
      <c r="A79" s="309" t="str">
        <f>HYPERLINK("http://www.wantgoo.com/stock/chart.aspx?stockno=3272","3272")</f>
        <v>3272</v>
      </c>
      <c r="B79" s="310"/>
      <c r="C79" s="311">
        <f>VLOOKUP(3272,季財報!A:H,3)</f>
        <v>0</v>
      </c>
      <c r="D79" s="311">
        <f>VLOOKUP(3272,季財報!A:H,4)</f>
        <v>1</v>
      </c>
      <c r="E79" s="311">
        <f>VLOOKUP(3272,季財報!A:H,5)</f>
        <v>1</v>
      </c>
      <c r="F79" s="311">
        <f>VLOOKUP(3272,季財報!A:H,6)</f>
        <v>1</v>
      </c>
      <c r="G79" s="311">
        <f>VLOOKUP(3272,季財報!A:H,7)</f>
        <v>0</v>
      </c>
      <c r="H79" s="312"/>
      <c r="I79" s="312"/>
      <c r="J79" s="312"/>
      <c r="K79" s="312"/>
      <c r="L79" s="312"/>
      <c r="M79" s="313"/>
      <c r="N79" s="312">
        <f t="shared" si="1"/>
        <v>3</v>
      </c>
      <c r="O79" s="314"/>
      <c r="P79" s="314"/>
      <c r="Q79" s="314"/>
      <c r="R79" s="314"/>
      <c r="S79" s="315"/>
    </row>
    <row r="80" spans="1:19" s="317" customFormat="1">
      <c r="A80" s="309" t="str">
        <f>HYPERLINK("http://www.wantgoo.com/stock/chart.aspx?stockno=2615","2615")</f>
        <v>2615</v>
      </c>
      <c r="B80" s="310"/>
      <c r="C80" s="311">
        <f>VLOOKUP(2615,季財報!A:H,3)</f>
        <v>0</v>
      </c>
      <c r="D80" s="311">
        <f>VLOOKUP(2615,季財報!A:H,4)</f>
        <v>1</v>
      </c>
      <c r="E80" s="311">
        <f>VLOOKUP(2615,季財報!A:H,5)</f>
        <v>0</v>
      </c>
      <c r="F80" s="311">
        <f>VLOOKUP(2615,季財報!A:H,6)</f>
        <v>1</v>
      </c>
      <c r="G80" s="311">
        <f>VLOOKUP(2615,季財報!A:H,7)</f>
        <v>0</v>
      </c>
      <c r="H80" s="312"/>
      <c r="I80" s="312"/>
      <c r="J80" s="312"/>
      <c r="K80" s="312"/>
      <c r="L80" s="312"/>
      <c r="M80" s="313"/>
      <c r="N80" s="312">
        <f t="shared" si="1"/>
        <v>2</v>
      </c>
      <c r="O80" s="314"/>
      <c r="P80" s="314"/>
      <c r="Q80" s="314"/>
      <c r="R80" s="314"/>
      <c r="S80" s="315"/>
    </row>
    <row r="81" spans="1:19" s="317" customFormat="1">
      <c r="A81" s="309" t="str">
        <f>HYPERLINK("http://www.wantgoo.com/stock/chart.aspx?stockno=6195","6195")</f>
        <v>6195</v>
      </c>
      <c r="B81" s="310"/>
      <c r="C81" s="311">
        <f>VLOOKUP(6195,季財報!A:H,3)</f>
        <v>0</v>
      </c>
      <c r="D81" s="311">
        <f>VLOOKUP(6195,季財報!A:H,4)</f>
        <v>0</v>
      </c>
      <c r="E81" s="311">
        <f>VLOOKUP(6195,季財報!A:H,5)</f>
        <v>0</v>
      </c>
      <c r="F81" s="311">
        <f>VLOOKUP(6195,季財報!A:H,6)</f>
        <v>0</v>
      </c>
      <c r="G81" s="311">
        <f>VLOOKUP(6195,季財報!A:H,7)</f>
        <v>0</v>
      </c>
      <c r="H81" s="312"/>
      <c r="I81" s="312"/>
      <c r="J81" s="312"/>
      <c r="K81" s="312"/>
      <c r="L81" s="312"/>
      <c r="M81" s="313"/>
      <c r="N81" s="312">
        <f t="shared" si="1"/>
        <v>0</v>
      </c>
      <c r="O81" s="314"/>
      <c r="P81" s="314"/>
      <c r="Q81" s="314"/>
      <c r="R81" s="314"/>
      <c r="S81" s="315"/>
    </row>
    <row r="82" spans="1:19" s="317" customFormat="1">
      <c r="A82" s="309" t="str">
        <f>HYPERLINK("http://www.wantgoo.com/stock/chart.aspx?stockno=4417","4417")</f>
        <v>4417</v>
      </c>
      <c r="B82" s="310"/>
      <c r="C82" s="311">
        <f>VLOOKUP(4417,季財報!A:H,3)</f>
        <v>0</v>
      </c>
      <c r="D82" s="311">
        <f>VLOOKUP(4417,季財報!A:H,4)</f>
        <v>1</v>
      </c>
      <c r="E82" s="311">
        <f>VLOOKUP(4417,季財報!A:H,5)</f>
        <v>1</v>
      </c>
      <c r="F82" s="311">
        <f>VLOOKUP(4417,季財報!A:H,6)</f>
        <v>1</v>
      </c>
      <c r="G82" s="311">
        <f>VLOOKUP(4417,季財報!A:H,7)</f>
        <v>0</v>
      </c>
      <c r="H82" s="312"/>
      <c r="I82" s="312"/>
      <c r="J82" s="312"/>
      <c r="K82" s="312"/>
      <c r="L82" s="312"/>
      <c r="M82" s="313"/>
      <c r="N82" s="312">
        <f t="shared" si="1"/>
        <v>3</v>
      </c>
      <c r="O82" s="314"/>
      <c r="P82" s="314"/>
      <c r="Q82" s="314"/>
      <c r="R82" s="314"/>
      <c r="S82" s="315"/>
    </row>
    <row r="83" spans="1:19" s="317" customFormat="1">
      <c r="A83" s="309" t="str">
        <f>HYPERLINK("http://www.wantgoo.com/stock/chart.aspx?stockno=2597","2597")</f>
        <v>2597</v>
      </c>
      <c r="B83" s="310"/>
      <c r="C83" s="311">
        <f>VLOOKUP(2597,季財報!A:H,3)</f>
        <v>0</v>
      </c>
      <c r="D83" s="311">
        <f>VLOOKUP(2597,季財報!A:H,4)</f>
        <v>1</v>
      </c>
      <c r="E83" s="311">
        <f>VLOOKUP(2597,季財報!A:H,5)</f>
        <v>0</v>
      </c>
      <c r="F83" s="311">
        <f>VLOOKUP(2597,季財報!A:H,6)</f>
        <v>1</v>
      </c>
      <c r="G83" s="311">
        <f>VLOOKUP(2597,季財報!A:H,7)</f>
        <v>0</v>
      </c>
      <c r="H83" s="312"/>
      <c r="I83" s="312"/>
      <c r="J83" s="312"/>
      <c r="K83" s="312"/>
      <c r="L83" s="312"/>
      <c r="M83" s="313"/>
      <c r="N83" s="312">
        <f t="shared" si="1"/>
        <v>2</v>
      </c>
      <c r="O83" s="314"/>
      <c r="P83" s="314"/>
      <c r="Q83" s="314"/>
      <c r="R83" s="314"/>
      <c r="S83" s="315"/>
    </row>
    <row r="84" spans="1:19" s="317" customFormat="1">
      <c r="A84" s="309" t="str">
        <f>HYPERLINK("http://www.wantgoo.com/stock/chart.aspx?stockno=1452","1452")</f>
        <v>1452</v>
      </c>
      <c r="B84" s="310"/>
      <c r="C84" s="311">
        <f>VLOOKUP(1452,季財報!A:H,3)</f>
        <v>0</v>
      </c>
      <c r="D84" s="311">
        <f>VLOOKUP(1452,季財報!A:H,4)</f>
        <v>1</v>
      </c>
      <c r="E84" s="311">
        <f>VLOOKUP(1452,季財報!A:H,5)</f>
        <v>0</v>
      </c>
      <c r="F84" s="311">
        <f>VLOOKUP(1452,季財報!A:H,6)</f>
        <v>1</v>
      </c>
      <c r="G84" s="311">
        <f>VLOOKUP(1452,季財報!A:H,7)</f>
        <v>0</v>
      </c>
      <c r="H84" s="312"/>
      <c r="I84" s="312"/>
      <c r="J84" s="312"/>
      <c r="K84" s="312"/>
      <c r="L84" s="312"/>
      <c r="M84" s="313"/>
      <c r="N84" s="312">
        <f t="shared" si="1"/>
        <v>2</v>
      </c>
      <c r="O84" s="314"/>
      <c r="P84" s="314"/>
      <c r="Q84" s="314"/>
      <c r="R84" s="314"/>
      <c r="S84" s="315"/>
    </row>
    <row r="85" spans="1:19" s="317" customFormat="1">
      <c r="A85" s="309" t="str">
        <f>HYPERLINK("http://www.wantgoo.com/stock/chart.aspx?stockno=2108","2108")</f>
        <v>2108</v>
      </c>
      <c r="B85" s="310"/>
      <c r="C85" s="311">
        <f>VLOOKUP(2108,季財報!A:H,3)</f>
        <v>1</v>
      </c>
      <c r="D85" s="311">
        <f>VLOOKUP(2108,季財報!A:H,4)</f>
        <v>1</v>
      </c>
      <c r="E85" s="311">
        <f>VLOOKUP(2108,季財報!A:H,5)</f>
        <v>0</v>
      </c>
      <c r="F85" s="311">
        <f>VLOOKUP(2108,季財報!A:H,6)</f>
        <v>1</v>
      </c>
      <c r="G85" s="311">
        <f>VLOOKUP(2108,季財報!A:H,7)</f>
        <v>0</v>
      </c>
      <c r="H85" s="312"/>
      <c r="I85" s="312"/>
      <c r="J85" s="312"/>
      <c r="K85" s="312"/>
      <c r="L85" s="312"/>
      <c r="M85" s="313"/>
      <c r="N85" s="312">
        <f t="shared" si="1"/>
        <v>3</v>
      </c>
      <c r="O85" s="314"/>
      <c r="P85" s="314"/>
      <c r="Q85" s="314"/>
      <c r="R85" s="314"/>
      <c r="S85" s="315"/>
    </row>
    <row r="86" spans="1:19" s="317" customFormat="1">
      <c r="A86" s="309" t="str">
        <f>HYPERLINK("http://www.wantgoo.com/stock/chart.aspx?stockno=1570","1570")</f>
        <v>1570</v>
      </c>
      <c r="B86" s="310"/>
      <c r="C86" s="311">
        <f>VLOOKUP(1570,季財報!A:H,3)</f>
        <v>1</v>
      </c>
      <c r="D86" s="311">
        <f>VLOOKUP(1570,季財報!A:H,4)</f>
        <v>1</v>
      </c>
      <c r="E86" s="311">
        <f>VLOOKUP(1570,季財報!A:H,5)</f>
        <v>2</v>
      </c>
      <c r="F86" s="311">
        <f>VLOOKUP(1570,季財報!A:H,6)</f>
        <v>1</v>
      </c>
      <c r="G86" s="311">
        <f>VLOOKUP(1570,季財報!A:H,7)</f>
        <v>0</v>
      </c>
      <c r="H86" s="312"/>
      <c r="I86" s="312"/>
      <c r="J86" s="312"/>
      <c r="K86" s="312"/>
      <c r="L86" s="312"/>
      <c r="M86" s="313"/>
      <c r="N86" s="312">
        <f t="shared" si="1"/>
        <v>5</v>
      </c>
      <c r="O86" s="314"/>
      <c r="P86" s="314"/>
      <c r="Q86" s="314"/>
      <c r="R86" s="314"/>
      <c r="S86" s="315"/>
    </row>
    <row r="87" spans="1:19" s="317" customFormat="1">
      <c r="A87" s="309" t="str">
        <f>HYPERLINK("http://www.wantgoo.com/stock/chart.aspx?stockno=2501","2501")</f>
        <v>2501</v>
      </c>
      <c r="B87" s="310"/>
      <c r="C87" s="311">
        <f>VLOOKUP(2501,季財報!A:H,3)</f>
        <v>0</v>
      </c>
      <c r="D87" s="311">
        <f>VLOOKUP(2501,季財報!A:H,4)</f>
        <v>0</v>
      </c>
      <c r="E87" s="311">
        <f>VLOOKUP(2501,季財報!A:H,5)</f>
        <v>0</v>
      </c>
      <c r="F87" s="311">
        <f>VLOOKUP(2501,季財報!A:H,6)</f>
        <v>0</v>
      </c>
      <c r="G87" s="311">
        <f>VLOOKUP(2501,季財報!A:H,7)</f>
        <v>0</v>
      </c>
      <c r="H87" s="312"/>
      <c r="I87" s="312"/>
      <c r="J87" s="312"/>
      <c r="K87" s="312"/>
      <c r="L87" s="312"/>
      <c r="M87" s="313"/>
      <c r="N87" s="312">
        <f t="shared" si="1"/>
        <v>0</v>
      </c>
      <c r="O87" s="314"/>
      <c r="P87" s="314"/>
      <c r="Q87" s="314"/>
      <c r="R87" s="314"/>
      <c r="S87" s="315"/>
    </row>
    <row r="88" spans="1:19" s="317" customFormat="1">
      <c r="A88" s="309" t="str">
        <f>HYPERLINK("http://www.wantgoo.com/stock/chart.aspx?stockno=6207","6207")</f>
        <v>6207</v>
      </c>
      <c r="B88" s="310"/>
      <c r="C88" s="311">
        <f>VLOOKUP(6207,季財報!A:H,3)</f>
        <v>1</v>
      </c>
      <c r="D88" s="311">
        <f>VLOOKUP(6207,季財報!A:H,4)</f>
        <v>1</v>
      </c>
      <c r="E88" s="311">
        <f>VLOOKUP(6207,季財報!A:H,5)</f>
        <v>1</v>
      </c>
      <c r="F88" s="311">
        <f>VLOOKUP(6207,季財報!A:H,6)</f>
        <v>1</v>
      </c>
      <c r="G88" s="311">
        <f>VLOOKUP(6207,季財報!A:H,7)</f>
        <v>0</v>
      </c>
      <c r="H88" s="312"/>
      <c r="I88" s="312"/>
      <c r="J88" s="312"/>
      <c r="K88" s="312"/>
      <c r="L88" s="312"/>
      <c r="M88" s="313"/>
      <c r="N88" s="312">
        <f t="shared" si="1"/>
        <v>4</v>
      </c>
      <c r="O88" s="314"/>
      <c r="P88" s="314"/>
      <c r="Q88" s="314"/>
      <c r="R88" s="314"/>
      <c r="S88" s="315"/>
    </row>
    <row r="89" spans="1:19" s="317" customFormat="1">
      <c r="A89" s="309" t="str">
        <f>HYPERLINK("http://www.wantgoo.com/stock/chart.aspx?stockno=5201","5201")</f>
        <v>5201</v>
      </c>
      <c r="B89" s="310"/>
      <c r="C89" s="311">
        <f>VLOOKUP(5201,季財報!A:H,3)</f>
        <v>1</v>
      </c>
      <c r="D89" s="311">
        <f>VLOOKUP(5201,季財報!A:H,4)</f>
        <v>1</v>
      </c>
      <c r="E89" s="311">
        <f>VLOOKUP(5201,季財報!A:H,5)</f>
        <v>2</v>
      </c>
      <c r="F89" s="311">
        <f>VLOOKUP(5201,季財報!A:H,6)</f>
        <v>0</v>
      </c>
      <c r="G89" s="311">
        <f>VLOOKUP(5201,季財報!A:H,7)</f>
        <v>0</v>
      </c>
      <c r="H89" s="312"/>
      <c r="I89" s="312"/>
      <c r="J89" s="312"/>
      <c r="K89" s="312"/>
      <c r="L89" s="312"/>
      <c r="M89" s="313"/>
      <c r="N89" s="312">
        <f t="shared" si="1"/>
        <v>4</v>
      </c>
      <c r="O89" s="314"/>
      <c r="P89" s="314"/>
      <c r="Q89" s="314"/>
      <c r="R89" s="314"/>
      <c r="S89" s="315"/>
    </row>
    <row r="90" spans="1:19" s="317" customFormat="1">
      <c r="A90" s="309" t="str">
        <f>HYPERLINK("http://www.wantgoo.com/stock/chart.aspx?stockno=4974","4974")</f>
        <v>4974</v>
      </c>
      <c r="B90" s="310"/>
      <c r="C90" s="311">
        <f>VLOOKUP(4974,季財報!A:H,3)</f>
        <v>1</v>
      </c>
      <c r="D90" s="311">
        <f>VLOOKUP(4974,季財報!A:H,4)</f>
        <v>1</v>
      </c>
      <c r="E90" s="311">
        <f>VLOOKUP(4974,季財報!A:H,5)</f>
        <v>0</v>
      </c>
      <c r="F90" s="311">
        <f>VLOOKUP(4974,季財報!A:H,6)</f>
        <v>0</v>
      </c>
      <c r="G90" s="311">
        <f>VLOOKUP(4974,季財報!A:H,7)</f>
        <v>0</v>
      </c>
      <c r="H90" s="312"/>
      <c r="I90" s="312"/>
      <c r="J90" s="312"/>
      <c r="K90" s="312"/>
      <c r="L90" s="312"/>
      <c r="M90" s="313"/>
      <c r="N90" s="312">
        <f t="shared" si="1"/>
        <v>2</v>
      </c>
      <c r="O90" s="314"/>
      <c r="P90" s="314"/>
      <c r="Q90" s="314"/>
      <c r="R90" s="314"/>
      <c r="S90" s="315"/>
    </row>
    <row r="91" spans="1:19" s="317" customFormat="1">
      <c r="A91" s="309" t="str">
        <f>HYPERLINK("http://www.wantgoo.com/stock/chart.aspx?stockno=2488","2488")</f>
        <v>2488</v>
      </c>
      <c r="B91" s="310"/>
      <c r="C91" s="311">
        <f>VLOOKUP(2488,季財報!A:H,3)</f>
        <v>1</v>
      </c>
      <c r="D91" s="311">
        <f>VLOOKUP(2488,季財報!A:H,4)</f>
        <v>1</v>
      </c>
      <c r="E91" s="311">
        <f>VLOOKUP(2488,季財報!A:H,5)</f>
        <v>1</v>
      </c>
      <c r="F91" s="311">
        <f>VLOOKUP(2488,季財報!A:H,6)</f>
        <v>1</v>
      </c>
      <c r="G91" s="311">
        <f>VLOOKUP(2488,季財報!A:H,7)</f>
        <v>0</v>
      </c>
      <c r="H91" s="312"/>
      <c r="I91" s="312"/>
      <c r="J91" s="312"/>
      <c r="K91" s="312"/>
      <c r="L91" s="312"/>
      <c r="M91" s="313"/>
      <c r="N91" s="312">
        <f t="shared" si="1"/>
        <v>4</v>
      </c>
      <c r="O91" s="314"/>
      <c r="P91" s="314"/>
      <c r="Q91" s="314"/>
      <c r="R91" s="314"/>
      <c r="S91" s="315"/>
    </row>
    <row r="92" spans="1:19" s="317" customFormat="1">
      <c r="A92" s="309" t="str">
        <f>HYPERLINK("http://www.wantgoo.com/stock/chart.aspx?stockno=2451","2451")</f>
        <v>2451</v>
      </c>
      <c r="B92" s="310"/>
      <c r="C92" s="311">
        <f>VLOOKUP(2451,季財報!A:H,3)</f>
        <v>1</v>
      </c>
      <c r="D92" s="311">
        <f>VLOOKUP(2451,季財報!A:H,4)</f>
        <v>1</v>
      </c>
      <c r="E92" s="311">
        <f>VLOOKUP(2451,季財報!A:H,5)</f>
        <v>0</v>
      </c>
      <c r="F92" s="311">
        <f>VLOOKUP(2451,季財報!A:H,6)</f>
        <v>1</v>
      </c>
      <c r="G92" s="311">
        <f>VLOOKUP(2451,季財報!A:H,7)</f>
        <v>0</v>
      </c>
      <c r="H92" s="312"/>
      <c r="I92" s="312"/>
      <c r="J92" s="312"/>
      <c r="K92" s="312"/>
      <c r="L92" s="312"/>
      <c r="M92" s="313"/>
      <c r="N92" s="312">
        <f t="shared" si="1"/>
        <v>3</v>
      </c>
      <c r="O92" s="314"/>
      <c r="P92" s="314"/>
      <c r="Q92" s="314"/>
      <c r="R92" s="314"/>
      <c r="S92" s="315"/>
    </row>
    <row r="93" spans="1:19" s="317" customFormat="1">
      <c r="A93" s="309" t="str">
        <f>HYPERLINK("http://www.wantgoo.com/stock/chart.aspx?stockno=6120","6120")</f>
        <v>6120</v>
      </c>
      <c r="B93" s="310"/>
      <c r="C93" s="311">
        <f>VLOOKUP(6120,季財報!A:H,3)</f>
        <v>0</v>
      </c>
      <c r="D93" s="311">
        <f>VLOOKUP(6120,季財報!A:H,4)</f>
        <v>0</v>
      </c>
      <c r="E93" s="311">
        <f>VLOOKUP(6120,季財報!A:H,5)</f>
        <v>0</v>
      </c>
      <c r="F93" s="311">
        <f>VLOOKUP(6120,季財報!A:H,6)</f>
        <v>0</v>
      </c>
      <c r="G93" s="311">
        <f>VLOOKUP(6120,季財報!A:H,7)</f>
        <v>0</v>
      </c>
      <c r="H93" s="312"/>
      <c r="I93" s="312"/>
      <c r="J93" s="312"/>
      <c r="K93" s="312"/>
      <c r="L93" s="312"/>
      <c r="M93" s="313"/>
      <c r="N93" s="312">
        <f t="shared" si="1"/>
        <v>0</v>
      </c>
      <c r="O93" s="314"/>
      <c r="P93" s="314"/>
      <c r="Q93" s="314"/>
      <c r="R93" s="314"/>
      <c r="S93" s="315"/>
    </row>
    <row r="94" spans="1:19" s="317" customFormat="1">
      <c r="A94" s="309" t="str">
        <f>HYPERLINK("http://www.wantgoo.com/stock/chart.aspx?stockno=3693","3693")</f>
        <v>3693</v>
      </c>
      <c r="B94" s="310"/>
      <c r="C94" s="311">
        <f>VLOOKUP(3693,季財報!A:H,3)</f>
        <v>1</v>
      </c>
      <c r="D94" s="311">
        <f>VLOOKUP(3693,季財報!A:H,4)</f>
        <v>1</v>
      </c>
      <c r="E94" s="311">
        <f>VLOOKUP(3693,季財報!A:H,5)</f>
        <v>1</v>
      </c>
      <c r="F94" s="311">
        <f>VLOOKUP(3693,季財報!A:H,6)</f>
        <v>1</v>
      </c>
      <c r="G94" s="311">
        <f>VLOOKUP(3693,季財報!A:H,7)</f>
        <v>0</v>
      </c>
      <c r="H94" s="312"/>
      <c r="I94" s="312"/>
      <c r="J94" s="312"/>
      <c r="K94" s="312"/>
      <c r="L94" s="312"/>
      <c r="M94" s="313"/>
      <c r="N94" s="312">
        <f t="shared" si="1"/>
        <v>4</v>
      </c>
      <c r="O94" s="314"/>
      <c r="P94" s="314"/>
      <c r="Q94" s="314"/>
      <c r="R94" s="314"/>
      <c r="S94" s="315"/>
    </row>
    <row r="95" spans="1:19" s="317" customFormat="1">
      <c r="A95" s="309" t="str">
        <f>HYPERLINK("http://www.wantgoo.com/stock/chart.aspx?stockno=2330","2330")</f>
        <v>2330</v>
      </c>
      <c r="B95" s="310"/>
      <c r="C95" s="311">
        <f>VLOOKUP(2330,季財報!A:H,3)</f>
        <v>0</v>
      </c>
      <c r="D95" s="311">
        <f>VLOOKUP(2330,季財報!A:H,4)</f>
        <v>0</v>
      </c>
      <c r="E95" s="311">
        <f>VLOOKUP(2330,季財報!A:H,5)</f>
        <v>1</v>
      </c>
      <c r="F95" s="311">
        <f>VLOOKUP(2330,季財報!A:H,6)</f>
        <v>1</v>
      </c>
      <c r="G95" s="311">
        <f>VLOOKUP(2330,季財報!A:H,7)</f>
        <v>0</v>
      </c>
      <c r="H95" s="312"/>
      <c r="I95" s="312"/>
      <c r="J95" s="312"/>
      <c r="K95" s="312"/>
      <c r="L95" s="312"/>
      <c r="M95" s="313"/>
      <c r="N95" s="312">
        <f t="shared" si="1"/>
        <v>2</v>
      </c>
      <c r="O95" s="314"/>
      <c r="P95" s="314"/>
      <c r="Q95" s="314"/>
      <c r="R95" s="314"/>
      <c r="S95" s="315"/>
    </row>
    <row r="96" spans="1:19" s="317" customFormat="1">
      <c r="A96" s="309" t="str">
        <f>HYPERLINK("http://www.wantgoo.com/stock/chart.aspx?stockno=4995","4995")</f>
        <v>4995</v>
      </c>
      <c r="B96" s="310"/>
      <c r="C96" s="311">
        <f>VLOOKUP(4995,季財報!A:H,3)</f>
        <v>0</v>
      </c>
      <c r="D96" s="311">
        <f>VLOOKUP(4995,季財報!A:H,4)</f>
        <v>1</v>
      </c>
      <c r="E96" s="311">
        <f>VLOOKUP(4995,季財報!A:H,5)</f>
        <v>0</v>
      </c>
      <c r="F96" s="311">
        <f>VLOOKUP(4995,季財報!A:H,6)</f>
        <v>1</v>
      </c>
      <c r="G96" s="311">
        <f>VLOOKUP(4995,季財報!A:H,7)</f>
        <v>0</v>
      </c>
      <c r="H96" s="312"/>
      <c r="I96" s="312"/>
      <c r="J96" s="312"/>
      <c r="K96" s="312"/>
      <c r="L96" s="312"/>
      <c r="M96" s="313"/>
      <c r="N96" s="312">
        <f t="shared" si="1"/>
        <v>2</v>
      </c>
      <c r="O96" s="314"/>
      <c r="P96" s="314"/>
      <c r="Q96" s="314"/>
      <c r="R96" s="314"/>
      <c r="S96" s="315"/>
    </row>
    <row r="97" spans="1:19" s="317" customFormat="1">
      <c r="A97" s="309" t="str">
        <f>HYPERLINK("http://www.wantgoo.com/stock/chart.aspx?stockno=8942","8942")</f>
        <v>8942</v>
      </c>
      <c r="B97" s="310"/>
      <c r="C97" s="311">
        <f>VLOOKUP(8942,季財報!A:H,3)</f>
        <v>1</v>
      </c>
      <c r="D97" s="311">
        <f>VLOOKUP(8942,季財報!A:H,4)</f>
        <v>1</v>
      </c>
      <c r="E97" s="311">
        <f>VLOOKUP(8942,季財報!A:H,5)</f>
        <v>0</v>
      </c>
      <c r="F97" s="311">
        <f>VLOOKUP(8942,季財報!A:H,6)</f>
        <v>1</v>
      </c>
      <c r="G97" s="311">
        <f>VLOOKUP(8942,季財報!A:H,7)</f>
        <v>0</v>
      </c>
      <c r="H97" s="312"/>
      <c r="I97" s="312"/>
      <c r="J97" s="312"/>
      <c r="K97" s="312"/>
      <c r="L97" s="312"/>
      <c r="M97" s="313"/>
      <c r="N97" s="312">
        <f t="shared" si="1"/>
        <v>3</v>
      </c>
      <c r="O97" s="314"/>
      <c r="P97" s="314"/>
      <c r="Q97" s="314"/>
      <c r="R97" s="314"/>
      <c r="S97" s="315"/>
    </row>
    <row r="98" spans="1:19" s="317" customFormat="1">
      <c r="A98" s="309" t="str">
        <f>HYPERLINK("http://www.wantgoo.com/stock/chart.aspx?stockno=1582","1582")</f>
        <v>1582</v>
      </c>
      <c r="B98" s="310"/>
      <c r="C98" s="311">
        <f>VLOOKUP(1582,季財報!A:H,3)</f>
        <v>1</v>
      </c>
      <c r="D98" s="311">
        <f>VLOOKUP(1582,季財報!A:H,4)</f>
        <v>1</v>
      </c>
      <c r="E98" s="311">
        <f>VLOOKUP(1582,季財報!A:H,5)</f>
        <v>0</v>
      </c>
      <c r="F98" s="311">
        <f>VLOOKUP(1582,季財報!A:H,6)</f>
        <v>1</v>
      </c>
      <c r="G98" s="311">
        <f>VLOOKUP(1582,季財報!A:H,7)</f>
        <v>0</v>
      </c>
      <c r="H98" s="312"/>
      <c r="I98" s="312"/>
      <c r="J98" s="312"/>
      <c r="K98" s="312"/>
      <c r="L98" s="312"/>
      <c r="M98" s="313"/>
      <c r="N98" s="312">
        <f t="shared" si="1"/>
        <v>3</v>
      </c>
      <c r="O98" s="314"/>
      <c r="P98" s="314"/>
      <c r="Q98" s="314"/>
      <c r="R98" s="314"/>
      <c r="S98" s="315"/>
    </row>
    <row r="99" spans="1:19" s="317" customFormat="1">
      <c r="A99" s="309" t="str">
        <f>HYPERLINK("http://www.wantgoo.com/stock/chart.aspx?stockno=8905","8905")</f>
        <v>8905</v>
      </c>
      <c r="B99" s="310"/>
      <c r="C99" s="311">
        <f>VLOOKUP(8905,季財報!A:H,3)</f>
        <v>0</v>
      </c>
      <c r="D99" s="311">
        <f>VLOOKUP(8905,季財報!A:H,4)</f>
        <v>1</v>
      </c>
      <c r="E99" s="311">
        <f>VLOOKUP(8905,季財報!A:H,5)</f>
        <v>0</v>
      </c>
      <c r="F99" s="311">
        <f>VLOOKUP(8905,季財報!A:H,6)</f>
        <v>0</v>
      </c>
      <c r="G99" s="311">
        <f>VLOOKUP(8905,季財報!A:H,7)</f>
        <v>0</v>
      </c>
      <c r="H99" s="312"/>
      <c r="I99" s="312"/>
      <c r="J99" s="312"/>
      <c r="K99" s="312"/>
      <c r="L99" s="312"/>
      <c r="M99" s="313"/>
      <c r="N99" s="312">
        <f t="shared" si="1"/>
        <v>1</v>
      </c>
      <c r="O99" s="314"/>
      <c r="P99" s="314"/>
      <c r="Q99" s="314"/>
      <c r="R99" s="314"/>
      <c r="S99" s="315"/>
    </row>
    <row r="100" spans="1:19" s="317" customFormat="1">
      <c r="A100" s="309" t="str">
        <f>HYPERLINK("http://www.wantgoo.com/stock/chart.aspx?stockno=2404","2404")</f>
        <v>2404</v>
      </c>
      <c r="B100" s="310"/>
      <c r="C100" s="311">
        <f>VLOOKUP(2404,季財報!A:H,3)</f>
        <v>0</v>
      </c>
      <c r="D100" s="311">
        <f>VLOOKUP(2404,季財報!A:H,4)</f>
        <v>1</v>
      </c>
      <c r="E100" s="311">
        <f>VLOOKUP(2404,季財報!A:H,5)</f>
        <v>1</v>
      </c>
      <c r="F100" s="311">
        <f>VLOOKUP(2404,季財報!A:H,6)</f>
        <v>1</v>
      </c>
      <c r="G100" s="311">
        <f>VLOOKUP(2404,季財報!A:H,7)</f>
        <v>0</v>
      </c>
      <c r="H100" s="312"/>
      <c r="I100" s="312"/>
      <c r="J100" s="312"/>
      <c r="K100" s="312"/>
      <c r="L100" s="312"/>
      <c r="M100" s="313"/>
      <c r="N100" s="312">
        <f t="shared" si="1"/>
        <v>3</v>
      </c>
      <c r="O100" s="314"/>
      <c r="P100" s="314"/>
      <c r="Q100" s="314"/>
      <c r="R100" s="314"/>
      <c r="S100" s="315"/>
    </row>
    <row r="101" spans="1:19" s="317" customFormat="1">
      <c r="A101" s="309" t="str">
        <f>HYPERLINK("http://www.wantgoo.com/stock/chart.aspx?stockno=5234","5234")</f>
        <v>5234</v>
      </c>
      <c r="B101" s="310"/>
      <c r="C101" s="311">
        <f>VLOOKUP(5234,季財報!A:H,3)</f>
        <v>0</v>
      </c>
      <c r="D101" s="311">
        <f>VLOOKUP(5234,季財報!A:H,4)</f>
        <v>1</v>
      </c>
      <c r="E101" s="311">
        <f>VLOOKUP(5234,季財報!A:H,5)</f>
        <v>1</v>
      </c>
      <c r="F101" s="311">
        <f>VLOOKUP(5234,季財報!A:H,6)</f>
        <v>1</v>
      </c>
      <c r="G101" s="311">
        <f>VLOOKUP(5234,季財報!A:H,7)</f>
        <v>0</v>
      </c>
      <c r="H101" s="312"/>
      <c r="I101" s="312"/>
      <c r="J101" s="312"/>
      <c r="K101" s="312"/>
      <c r="L101" s="312"/>
      <c r="M101" s="313"/>
      <c r="N101" s="312">
        <f t="shared" si="1"/>
        <v>3</v>
      </c>
      <c r="O101" s="314"/>
      <c r="P101" s="314"/>
      <c r="Q101" s="314"/>
      <c r="R101" s="314"/>
      <c r="S101" s="315"/>
    </row>
    <row r="102" spans="1:19" s="317" customFormat="1">
      <c r="A102" s="309" t="str">
        <f>HYPERLINK("http://www.wantgoo.com/stock/chart.aspx?stockno=5534","5534")</f>
        <v>5534</v>
      </c>
      <c r="B102" s="310"/>
      <c r="C102" s="311">
        <f>VLOOKUP(5534,季財報!A:H,3)</f>
        <v>0</v>
      </c>
      <c r="D102" s="311">
        <f>VLOOKUP(5534,季財報!A:H,4)</f>
        <v>1</v>
      </c>
      <c r="E102" s="311">
        <f>VLOOKUP(5534,季財報!A:H,5)</f>
        <v>0</v>
      </c>
      <c r="F102" s="311">
        <f>VLOOKUP(5534,季財報!A:H,6)</f>
        <v>1</v>
      </c>
      <c r="G102" s="311">
        <f>VLOOKUP(5534,季財報!A:H,7)</f>
        <v>0</v>
      </c>
      <c r="H102" s="312"/>
      <c r="I102" s="312"/>
      <c r="J102" s="312"/>
      <c r="K102" s="312"/>
      <c r="L102" s="312"/>
      <c r="M102" s="313"/>
      <c r="N102" s="312">
        <f t="shared" si="1"/>
        <v>2</v>
      </c>
      <c r="O102" s="314"/>
      <c r="P102" s="314"/>
      <c r="Q102" s="314"/>
      <c r="R102" s="314"/>
      <c r="S102" s="315"/>
    </row>
    <row r="103" spans="1:19" s="317" customFormat="1">
      <c r="A103" s="309" t="str">
        <f>HYPERLINK("http://www.wantgoo.com/stock/chart.aspx?stockno=8420","8420")</f>
        <v>8420</v>
      </c>
      <c r="B103" s="310"/>
      <c r="C103" s="311">
        <f>VLOOKUP(8420,季財報!A:H,3)</f>
        <v>0</v>
      </c>
      <c r="D103" s="311">
        <f>VLOOKUP(8420,季財報!A:H,4)</f>
        <v>1</v>
      </c>
      <c r="E103" s="311">
        <f>VLOOKUP(8420,季財報!A:H,5)</f>
        <v>0</v>
      </c>
      <c r="F103" s="311">
        <f>VLOOKUP(8420,季財報!A:H,6)</f>
        <v>1</v>
      </c>
      <c r="G103" s="311">
        <f>VLOOKUP(8420,季財報!A:H,7)</f>
        <v>0</v>
      </c>
      <c r="H103" s="312"/>
      <c r="I103" s="312"/>
      <c r="J103" s="312"/>
      <c r="K103" s="312"/>
      <c r="L103" s="312"/>
      <c r="M103" s="313"/>
      <c r="N103" s="312">
        <f t="shared" si="1"/>
        <v>2</v>
      </c>
      <c r="O103" s="314"/>
      <c r="P103" s="314"/>
      <c r="Q103" s="314"/>
      <c r="R103" s="314"/>
      <c r="S103" s="315"/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 s="317" customFormat="1">
      <c r="A105" s="309" t="str">
        <f>HYPERLINK("http://www.wantgoo.com/stock/chart.aspx?stockno=5464","5464")</f>
        <v>5464</v>
      </c>
      <c r="B105" s="310"/>
      <c r="C105" s="311">
        <f>VLOOKUP(5464,季財報!A:H,3)</f>
        <v>0</v>
      </c>
      <c r="D105" s="311">
        <f>VLOOKUP(5464,季財報!A:H,4)</f>
        <v>1</v>
      </c>
      <c r="E105" s="311">
        <f>VLOOKUP(5464,季財報!A:H,5)</f>
        <v>0</v>
      </c>
      <c r="F105" s="311">
        <f>VLOOKUP(5464,季財報!A:H,6)</f>
        <v>1</v>
      </c>
      <c r="G105" s="311">
        <f>VLOOKUP(5464,季財報!A:H,7)</f>
        <v>0</v>
      </c>
      <c r="H105" s="312"/>
      <c r="I105" s="312"/>
      <c r="J105" s="312"/>
      <c r="K105" s="312"/>
      <c r="L105" s="312"/>
      <c r="M105" s="313"/>
      <c r="N105" s="312">
        <f t="shared" si="1"/>
        <v>2</v>
      </c>
      <c r="O105" s="314"/>
      <c r="P105" s="314"/>
      <c r="Q105" s="314"/>
      <c r="R105" s="314"/>
      <c r="S105" s="315"/>
    </row>
    <row r="106" spans="1:19" s="317" customFormat="1">
      <c r="A106" s="309" t="str">
        <f>HYPERLINK("http://www.wantgoo.com/stock/chart.aspx?stockno=1583","1583")</f>
        <v>1583</v>
      </c>
      <c r="B106" s="310"/>
      <c r="C106" s="311">
        <f>VLOOKUP(1583,季財報!A:H,3)</f>
        <v>0</v>
      </c>
      <c r="D106" s="311">
        <f>VLOOKUP(1583,季財報!A:H,4)</f>
        <v>1</v>
      </c>
      <c r="E106" s="311">
        <f>VLOOKUP(1583,季財報!A:H,5)</f>
        <v>0</v>
      </c>
      <c r="F106" s="311">
        <f>VLOOKUP(1583,季財報!A:H,6)</f>
        <v>0</v>
      </c>
      <c r="G106" s="311">
        <f>VLOOKUP(1583,季財報!A:H,7)</f>
        <v>0</v>
      </c>
      <c r="H106" s="312"/>
      <c r="I106" s="312"/>
      <c r="J106" s="312"/>
      <c r="K106" s="312"/>
      <c r="L106" s="312"/>
      <c r="M106" s="313"/>
      <c r="N106" s="312">
        <f t="shared" si="1"/>
        <v>1</v>
      </c>
      <c r="O106" s="314"/>
      <c r="P106" s="314"/>
      <c r="Q106" s="314"/>
      <c r="R106" s="314"/>
      <c r="S106" s="315"/>
    </row>
    <row r="107" spans="1:19" s="317" customFormat="1">
      <c r="A107" s="309" t="str">
        <f>HYPERLINK("http://www.wantgoo.com/stock/chart.aspx?stockno=5603","5603")</f>
        <v>5603</v>
      </c>
      <c r="B107" s="310"/>
      <c r="C107" s="311">
        <f>VLOOKUP(5603,季財報!A:H,3)</f>
        <v>0</v>
      </c>
      <c r="D107" s="311">
        <f>VLOOKUP(5603,季財報!A:H,4)</f>
        <v>1</v>
      </c>
      <c r="E107" s="311">
        <f>VLOOKUP(5603,季財報!A:H,5)</f>
        <v>0</v>
      </c>
      <c r="F107" s="311">
        <f>VLOOKUP(5603,季財報!A:H,6)</f>
        <v>1</v>
      </c>
      <c r="G107" s="311">
        <f>VLOOKUP(5603,季財報!A:H,7)</f>
        <v>0</v>
      </c>
      <c r="H107" s="312"/>
      <c r="I107" s="312"/>
      <c r="J107" s="312"/>
      <c r="K107" s="312"/>
      <c r="L107" s="312"/>
      <c r="M107" s="313"/>
      <c r="N107" s="312">
        <f t="shared" si="1"/>
        <v>2</v>
      </c>
      <c r="O107" s="314"/>
      <c r="P107" s="314"/>
      <c r="Q107" s="314"/>
      <c r="R107" s="314"/>
      <c r="S107" s="315"/>
    </row>
    <row r="108" spans="1:19" s="317" customFormat="1">
      <c r="A108" s="309" t="str">
        <f>HYPERLINK("http://www.wantgoo.com/stock/chart.aspx?stockno=3034","3034")</f>
        <v>3034</v>
      </c>
      <c r="B108" s="310"/>
      <c r="C108" s="311">
        <f>VLOOKUP(3034,季財報!A:H,3)</f>
        <v>0</v>
      </c>
      <c r="D108" s="311">
        <f>VLOOKUP(3034,季財報!A:H,4)</f>
        <v>1</v>
      </c>
      <c r="E108" s="311">
        <f>VLOOKUP(3034,季財報!A:H,5)</f>
        <v>1</v>
      </c>
      <c r="F108" s="311">
        <f>VLOOKUP(3034,季財報!A:H,6)</f>
        <v>1</v>
      </c>
      <c r="G108" s="311">
        <f>VLOOKUP(3034,季財報!A:H,7)</f>
        <v>0</v>
      </c>
      <c r="H108" s="312"/>
      <c r="I108" s="312"/>
      <c r="J108" s="312"/>
      <c r="K108" s="312"/>
      <c r="L108" s="312"/>
      <c r="M108" s="313"/>
      <c r="N108" s="312">
        <f t="shared" si="1"/>
        <v>3</v>
      </c>
      <c r="O108" s="314"/>
      <c r="P108" s="314"/>
      <c r="Q108" s="314"/>
      <c r="R108" s="314"/>
      <c r="S108" s="315"/>
    </row>
    <row r="109" spans="1:19" s="317" customFormat="1">
      <c r="A109" s="309" t="str">
        <f>HYPERLINK("http://www.wantgoo.com/stock/chart.aspx?stockno=1215","1215")</f>
        <v>1215</v>
      </c>
      <c r="B109" s="310"/>
      <c r="C109" s="311">
        <f>VLOOKUP(1215,季財報!A:H,3)</f>
        <v>0</v>
      </c>
      <c r="D109" s="311">
        <f>VLOOKUP(1215,季財報!A:H,4)</f>
        <v>1</v>
      </c>
      <c r="E109" s="311">
        <f>VLOOKUP(1215,季財報!A:H,5)</f>
        <v>1</v>
      </c>
      <c r="F109" s="311">
        <f>VLOOKUP(1215,季財報!A:H,6)</f>
        <v>1</v>
      </c>
      <c r="G109" s="311">
        <f>VLOOKUP(1215,季財報!A:H,7)</f>
        <v>0</v>
      </c>
      <c r="H109" s="312"/>
      <c r="I109" s="312"/>
      <c r="J109" s="312"/>
      <c r="K109" s="312"/>
      <c r="L109" s="312"/>
      <c r="M109" s="313"/>
      <c r="N109" s="312">
        <f t="shared" si="1"/>
        <v>3</v>
      </c>
      <c r="O109" s="314"/>
      <c r="P109" s="314"/>
      <c r="Q109" s="314"/>
      <c r="R109" s="314"/>
      <c r="S109" s="315"/>
    </row>
    <row r="110" spans="1:19" s="317" customFormat="1">
      <c r="A110" s="309" t="str">
        <f>HYPERLINK("http://www.wantgoo.com/stock/chart.aspx?stockno=4513","4513")</f>
        <v>4513</v>
      </c>
      <c r="B110" s="310"/>
      <c r="C110" s="311">
        <f>VLOOKUP(4513,季財報!A:H,3)</f>
        <v>1</v>
      </c>
      <c r="D110" s="311">
        <f>VLOOKUP(4513,季財報!A:H,4)</f>
        <v>1</v>
      </c>
      <c r="E110" s="311">
        <f>VLOOKUP(4513,季財報!A:H,5)</f>
        <v>0</v>
      </c>
      <c r="F110" s="311">
        <f>VLOOKUP(4513,季財報!A:H,6)</f>
        <v>1</v>
      </c>
      <c r="G110" s="311">
        <f>VLOOKUP(4513,季財報!A:H,7)</f>
        <v>0</v>
      </c>
      <c r="H110" s="312"/>
      <c r="I110" s="312"/>
      <c r="J110" s="312"/>
      <c r="K110" s="312"/>
      <c r="L110" s="312"/>
      <c r="M110" s="313"/>
      <c r="N110" s="312">
        <f t="shared" si="1"/>
        <v>3</v>
      </c>
      <c r="O110" s="314"/>
      <c r="P110" s="314"/>
      <c r="Q110" s="314"/>
      <c r="R110" s="314"/>
      <c r="S110" s="315"/>
    </row>
    <row r="111" spans="1:19" s="317" customFormat="1">
      <c r="A111" s="309" t="str">
        <f>HYPERLINK("http://www.wantgoo.com/stock/chart.aspx?stockno=1580","1580")</f>
        <v>1580</v>
      </c>
      <c r="B111" s="310"/>
      <c r="C111" s="311">
        <f>VLOOKUP(1580,季財報!A:H,3)</f>
        <v>0</v>
      </c>
      <c r="D111" s="311">
        <f>VLOOKUP(1580,季財報!A:H,4)</f>
        <v>1</v>
      </c>
      <c r="E111" s="311">
        <f>VLOOKUP(1580,季財報!A:H,5)</f>
        <v>0</v>
      </c>
      <c r="F111" s="311">
        <f>VLOOKUP(1580,季財報!A:H,6)</f>
        <v>0</v>
      </c>
      <c r="G111" s="311">
        <f>VLOOKUP(1580,季財報!A:H,7)</f>
        <v>0</v>
      </c>
      <c r="H111" s="312"/>
      <c r="I111" s="312"/>
      <c r="J111" s="312"/>
      <c r="K111" s="312"/>
      <c r="L111" s="312"/>
      <c r="M111" s="313"/>
      <c r="N111" s="312">
        <f t="shared" si="1"/>
        <v>1</v>
      </c>
      <c r="O111" s="314"/>
      <c r="P111" s="314"/>
      <c r="Q111" s="314"/>
      <c r="R111" s="314"/>
      <c r="S111" s="315"/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9" s="317" customFormat="1">
      <c r="A113" s="309" t="str">
        <f>HYPERLINK("http://www.wantgoo.com/stock/chart.aspx?stockno=3051","3051")</f>
        <v>3051</v>
      </c>
      <c r="B113" s="310"/>
      <c r="C113" s="311">
        <f>VLOOKUP(3051,季財報!A:H,3)</f>
        <v>0</v>
      </c>
      <c r="D113" s="311">
        <f>VLOOKUP(3051,季財報!A:H,4)</f>
        <v>1</v>
      </c>
      <c r="E113" s="311">
        <f>VLOOKUP(3051,季財報!A:H,5)</f>
        <v>0</v>
      </c>
      <c r="F113" s="311">
        <f>VLOOKUP(3051,季財報!A:H,6)</f>
        <v>1</v>
      </c>
      <c r="G113" s="311">
        <f>VLOOKUP(3051,季財報!A:H,7)</f>
        <v>0</v>
      </c>
      <c r="H113" s="312"/>
      <c r="I113" s="312"/>
      <c r="J113" s="312"/>
      <c r="K113" s="312"/>
      <c r="L113" s="312"/>
      <c r="M113" s="313"/>
      <c r="N113" s="312">
        <f t="shared" si="1"/>
        <v>2</v>
      </c>
      <c r="O113" s="314"/>
      <c r="P113" s="314"/>
      <c r="Q113" s="314"/>
      <c r="R113" s="314"/>
      <c r="S113" s="315"/>
    </row>
    <row r="114" spans="1:19" s="317" customFormat="1">
      <c r="A114" s="309" t="str">
        <f>HYPERLINK("http://www.wantgoo.com/stock/chart.aspx?stockno=8088","8088")</f>
        <v>8088</v>
      </c>
      <c r="B114" s="310"/>
      <c r="C114" s="311">
        <f>VLOOKUP(8088,季財報!A:H,3)</f>
        <v>0</v>
      </c>
      <c r="D114" s="311">
        <f>VLOOKUP(8088,季財報!A:H,4)</f>
        <v>1</v>
      </c>
      <c r="E114" s="311">
        <f>VLOOKUP(8088,季財報!A:H,5)</f>
        <v>1</v>
      </c>
      <c r="F114" s="311">
        <f>VLOOKUP(8088,季財報!A:H,6)</f>
        <v>0</v>
      </c>
      <c r="G114" s="311">
        <f>VLOOKUP(8088,季財報!A:H,7)</f>
        <v>0</v>
      </c>
      <c r="H114" s="312"/>
      <c r="I114" s="312"/>
      <c r="J114" s="312"/>
      <c r="K114" s="312"/>
      <c r="L114" s="312"/>
      <c r="M114" s="313"/>
      <c r="N114" s="312">
        <f t="shared" si="1"/>
        <v>2</v>
      </c>
      <c r="O114" s="314"/>
      <c r="P114" s="314"/>
      <c r="Q114" s="314"/>
      <c r="R114" s="314"/>
      <c r="S114" s="315"/>
    </row>
    <row r="115" spans="1:19" s="317" customFormat="1">
      <c r="A115" s="309" t="str">
        <f>HYPERLINK("http://www.wantgoo.com/stock/chart.aspx?stockno=2420","2420")</f>
        <v>2420</v>
      </c>
      <c r="B115" s="310"/>
      <c r="C115" s="311">
        <f>VLOOKUP(2420,季財報!A:H,3)</f>
        <v>1</v>
      </c>
      <c r="D115" s="311">
        <f>VLOOKUP(2420,季財報!A:H,4)</f>
        <v>1</v>
      </c>
      <c r="E115" s="311">
        <f>VLOOKUP(2420,季財報!A:H,5)</f>
        <v>0</v>
      </c>
      <c r="F115" s="311">
        <f>VLOOKUP(2420,季財報!A:H,6)</f>
        <v>1</v>
      </c>
      <c r="G115" s="311">
        <f>VLOOKUP(2420,季財報!A:H,7)</f>
        <v>0</v>
      </c>
      <c r="H115" s="312"/>
      <c r="I115" s="312"/>
      <c r="J115" s="312"/>
      <c r="K115" s="312"/>
      <c r="L115" s="312"/>
      <c r="M115" s="313"/>
      <c r="N115" s="312">
        <f t="shared" si="1"/>
        <v>3</v>
      </c>
      <c r="O115" s="314"/>
      <c r="P115" s="314"/>
      <c r="Q115" s="314"/>
      <c r="R115" s="314"/>
      <c r="S115" s="315"/>
    </row>
    <row r="116" spans="1:19" s="317" customFormat="1">
      <c r="A116" s="309" t="str">
        <f>HYPERLINK("http://www.wantgoo.com/stock/chart.aspx?stockno=3481","3481")</f>
        <v>3481</v>
      </c>
      <c r="B116" s="310"/>
      <c r="C116" s="311">
        <f>VLOOKUP(3481,季財報!A:H,3)</f>
        <v>0</v>
      </c>
      <c r="D116" s="311">
        <f>VLOOKUP(3481,季財報!A:H,4)</f>
        <v>0</v>
      </c>
      <c r="E116" s="311">
        <f>VLOOKUP(3481,季財報!A:H,5)</f>
        <v>0</v>
      </c>
      <c r="F116" s="311">
        <f>VLOOKUP(3481,季財報!A:H,6)</f>
        <v>1</v>
      </c>
      <c r="G116" s="311">
        <f>VLOOKUP(3481,季財報!A:H,7)</f>
        <v>0</v>
      </c>
      <c r="H116" s="312"/>
      <c r="I116" s="312"/>
      <c r="J116" s="312"/>
      <c r="K116" s="312"/>
      <c r="L116" s="312"/>
      <c r="M116" s="313"/>
      <c r="N116" s="312">
        <f t="shared" si="1"/>
        <v>1</v>
      </c>
      <c r="O116" s="314"/>
      <c r="P116" s="314"/>
      <c r="Q116" s="314"/>
      <c r="R116" s="314"/>
      <c r="S116" s="315"/>
    </row>
    <row r="117" spans="1:19" s="317" customFormat="1">
      <c r="A117" s="309" t="str">
        <f>HYPERLINK("http://www.wantgoo.com/stock/chart.aspx?stockno=4977","4977")</f>
        <v>4977</v>
      </c>
      <c r="B117" s="310"/>
      <c r="C117" s="311">
        <f>VLOOKUP(4977,季財報!A:H,3)</f>
        <v>0</v>
      </c>
      <c r="D117" s="311">
        <f>VLOOKUP(4977,季財報!A:H,4)</f>
        <v>1</v>
      </c>
      <c r="E117" s="311">
        <f>VLOOKUP(4977,季財報!A:H,5)</f>
        <v>2</v>
      </c>
      <c r="F117" s="311">
        <f>VLOOKUP(4977,季財報!A:H,6)</f>
        <v>1</v>
      </c>
      <c r="G117" s="311">
        <f>VLOOKUP(4977,季財報!A:H,7)</f>
        <v>0</v>
      </c>
      <c r="H117" s="312"/>
      <c r="I117" s="312"/>
      <c r="J117" s="312"/>
      <c r="K117" s="312"/>
      <c r="L117" s="312"/>
      <c r="M117" s="313"/>
      <c r="N117" s="312">
        <f t="shared" si="1"/>
        <v>4</v>
      </c>
      <c r="O117" s="314"/>
      <c r="P117" s="314"/>
      <c r="Q117" s="314"/>
      <c r="R117" s="314"/>
      <c r="S117" s="315"/>
    </row>
    <row r="118" spans="1:19" s="317" customFormat="1">
      <c r="A118" s="309" t="str">
        <f>HYPERLINK("http://www.wantgoo.com/stock/chart.aspx?stockno=5511","5511")</f>
        <v>5511</v>
      </c>
      <c r="B118" s="310"/>
      <c r="C118" s="311">
        <f>VLOOKUP(5511,季財報!A:H,3)</f>
        <v>0</v>
      </c>
      <c r="D118" s="311">
        <f>VLOOKUP(5511,季財報!A:H,4)</f>
        <v>0</v>
      </c>
      <c r="E118" s="311">
        <f>VLOOKUP(5511,季財報!A:H,5)</f>
        <v>0</v>
      </c>
      <c r="F118" s="311">
        <f>VLOOKUP(5511,季財報!A:H,6)</f>
        <v>0</v>
      </c>
      <c r="G118" s="311">
        <f>VLOOKUP(5511,季財報!A:H,7)</f>
        <v>0</v>
      </c>
      <c r="H118" s="312"/>
      <c r="I118" s="312"/>
      <c r="J118" s="312"/>
      <c r="K118" s="312"/>
      <c r="L118" s="312"/>
      <c r="M118" s="313"/>
      <c r="N118" s="312">
        <f t="shared" si="1"/>
        <v>0</v>
      </c>
      <c r="O118" s="314"/>
      <c r="P118" s="314"/>
      <c r="Q118" s="314"/>
      <c r="R118" s="314"/>
      <c r="S118" s="315"/>
    </row>
    <row r="119" spans="1:19" s="317" customFormat="1">
      <c r="A119" s="309" t="str">
        <f>HYPERLINK("http://www.wantgoo.com/stock/chart.aspx?stockno=6224","6224")</f>
        <v>6224</v>
      </c>
      <c r="B119" s="310"/>
      <c r="C119" s="311">
        <f>VLOOKUP(6224,季財報!A:H,3)</f>
        <v>0</v>
      </c>
      <c r="D119" s="311">
        <f>VLOOKUP(6224,季財報!A:H,4)</f>
        <v>1</v>
      </c>
      <c r="E119" s="311">
        <f>VLOOKUP(6224,季財報!A:H,5)</f>
        <v>0</v>
      </c>
      <c r="F119" s="311">
        <f>VLOOKUP(6224,季財報!A:H,6)</f>
        <v>1</v>
      </c>
      <c r="G119" s="311">
        <f>VLOOKUP(6224,季財報!A:H,7)</f>
        <v>0</v>
      </c>
      <c r="H119" s="312"/>
      <c r="I119" s="312"/>
      <c r="J119" s="312"/>
      <c r="K119" s="312"/>
      <c r="L119" s="312"/>
      <c r="M119" s="313"/>
      <c r="N119" s="312">
        <f t="shared" si="1"/>
        <v>2</v>
      </c>
      <c r="O119" s="314"/>
      <c r="P119" s="314"/>
      <c r="Q119" s="314"/>
      <c r="R119" s="314"/>
      <c r="S119" s="315"/>
    </row>
    <row r="120" spans="1:19" s="317" customFormat="1">
      <c r="A120" s="309" t="str">
        <f>HYPERLINK("http://www.wantgoo.com/stock/chart.aspx?stockno=5276","5276")</f>
        <v>5276</v>
      </c>
      <c r="B120" s="310"/>
      <c r="C120" s="311">
        <f>VLOOKUP(5276,季財報!A:H,3)</f>
        <v>0</v>
      </c>
      <c r="D120" s="311">
        <f>VLOOKUP(5276,季財報!A:H,4)</f>
        <v>1</v>
      </c>
      <c r="E120" s="311">
        <f>VLOOKUP(5276,季財報!A:H,5)</f>
        <v>0</v>
      </c>
      <c r="F120" s="311">
        <f>VLOOKUP(5276,季財報!A:H,6)</f>
        <v>1</v>
      </c>
      <c r="G120" s="311">
        <f>VLOOKUP(5276,季財報!A:H,7)</f>
        <v>0</v>
      </c>
      <c r="H120" s="312"/>
      <c r="I120" s="312"/>
      <c r="J120" s="312"/>
      <c r="K120" s="312"/>
      <c r="L120" s="312"/>
      <c r="M120" s="313"/>
      <c r="N120" s="312">
        <f t="shared" si="1"/>
        <v>2</v>
      </c>
      <c r="O120" s="314"/>
      <c r="P120" s="314"/>
      <c r="Q120" s="314"/>
      <c r="R120" s="314"/>
      <c r="S120" s="315"/>
    </row>
    <row r="121" spans="1:19" s="317" customFormat="1">
      <c r="A121" s="309" t="str">
        <f>HYPERLINK("http://www.wantgoo.com/stock/chart.aspx?stockno=1526","1526")</f>
        <v>1526</v>
      </c>
      <c r="B121" s="310"/>
      <c r="C121" s="311">
        <f>VLOOKUP(1526,季財報!A:H,3)</f>
        <v>1</v>
      </c>
      <c r="D121" s="311">
        <f>VLOOKUP(1526,季財報!A:H,4)</f>
        <v>1</v>
      </c>
      <c r="E121" s="311">
        <f>VLOOKUP(1526,季財報!A:H,5)</f>
        <v>0</v>
      </c>
      <c r="F121" s="311">
        <f>VLOOKUP(1526,季財報!A:H,6)</f>
        <v>0</v>
      </c>
      <c r="G121" s="311">
        <f>VLOOKUP(1526,季財報!A:H,7)</f>
        <v>1</v>
      </c>
      <c r="H121" s="312"/>
      <c r="I121" s="312"/>
      <c r="J121" s="312"/>
      <c r="K121" s="312"/>
      <c r="L121" s="312"/>
      <c r="M121" s="313"/>
      <c r="N121" s="312">
        <f t="shared" si="1"/>
        <v>3</v>
      </c>
      <c r="O121" s="314"/>
      <c r="P121" s="314"/>
      <c r="Q121" s="314"/>
      <c r="R121" s="314"/>
      <c r="S121" s="315"/>
    </row>
    <row r="122" spans="1:19" s="317" customFormat="1">
      <c r="A122" s="309" t="str">
        <f>HYPERLINK("http://www.wantgoo.com/stock/chart.aspx?stockno=1541","1541")</f>
        <v>1541</v>
      </c>
      <c r="B122" s="310"/>
      <c r="C122" s="311">
        <f>VLOOKUP(1541,季財報!A:H,3)</f>
        <v>1</v>
      </c>
      <c r="D122" s="311">
        <f>VLOOKUP(1541,季財報!A:H,4)</f>
        <v>1</v>
      </c>
      <c r="E122" s="311">
        <f>VLOOKUP(1541,季財報!A:H,5)</f>
        <v>2</v>
      </c>
      <c r="F122" s="311">
        <f>VLOOKUP(1541,季財報!A:H,6)</f>
        <v>0</v>
      </c>
      <c r="G122" s="311">
        <f>VLOOKUP(1541,季財報!A:H,7)</f>
        <v>0</v>
      </c>
      <c r="H122" s="312"/>
      <c r="I122" s="312"/>
      <c r="J122" s="312"/>
      <c r="K122" s="312"/>
      <c r="L122" s="312"/>
      <c r="M122" s="313"/>
      <c r="N122" s="312">
        <f t="shared" si="1"/>
        <v>4</v>
      </c>
      <c r="O122" s="314"/>
      <c r="P122" s="314"/>
      <c r="Q122" s="314"/>
      <c r="R122" s="314"/>
      <c r="S122" s="315"/>
    </row>
    <row r="123" spans="1:19" s="317" customFormat="1">
      <c r="A123" s="309" t="str">
        <f>HYPERLINK("http://www.wantgoo.com/stock/chart.aspx?stockno=2351","2351")</f>
        <v>2351</v>
      </c>
      <c r="B123" s="310"/>
      <c r="C123" s="311">
        <f>VLOOKUP(2351,季財報!A:H,3)</f>
        <v>0</v>
      </c>
      <c r="D123" s="311">
        <f>VLOOKUP(2351,季財報!A:H,4)</f>
        <v>1</v>
      </c>
      <c r="E123" s="311">
        <f>VLOOKUP(2351,季財報!A:H,5)</f>
        <v>0</v>
      </c>
      <c r="F123" s="311">
        <f>VLOOKUP(2351,季財報!A:H,6)</f>
        <v>1</v>
      </c>
      <c r="G123" s="311">
        <f>VLOOKUP(2351,季財報!A:H,7)</f>
        <v>0</v>
      </c>
      <c r="H123" s="312"/>
      <c r="I123" s="312"/>
      <c r="J123" s="312"/>
      <c r="K123" s="312"/>
      <c r="L123" s="312"/>
      <c r="M123" s="313"/>
      <c r="N123" s="312">
        <f t="shared" si="1"/>
        <v>2</v>
      </c>
      <c r="O123" s="314"/>
      <c r="P123" s="314"/>
      <c r="Q123" s="314"/>
      <c r="R123" s="314"/>
      <c r="S123" s="315"/>
    </row>
    <row r="124" spans="1:19" s="317" customFormat="1">
      <c r="A124" s="309" t="str">
        <f>HYPERLINK("http://www.wantgoo.com/stock/chart.aspx?stockno=4952","4952")</f>
        <v>4952</v>
      </c>
      <c r="B124" s="310"/>
      <c r="C124" s="311">
        <f>VLOOKUP(4952,季財報!A:H,3)</f>
        <v>1</v>
      </c>
      <c r="D124" s="311">
        <f>VLOOKUP(4952,季財報!A:H,4)</f>
        <v>1</v>
      </c>
      <c r="E124" s="311">
        <f>VLOOKUP(4952,季財報!A:H,5)</f>
        <v>0</v>
      </c>
      <c r="F124" s="311">
        <f>VLOOKUP(4952,季財報!A:H,6)</f>
        <v>1</v>
      </c>
      <c r="G124" s="311">
        <f>VLOOKUP(4952,季財報!A:H,7)</f>
        <v>0</v>
      </c>
      <c r="H124" s="312"/>
      <c r="I124" s="312"/>
      <c r="J124" s="312"/>
      <c r="K124" s="312"/>
      <c r="L124" s="312"/>
      <c r="M124" s="313"/>
      <c r="N124" s="312">
        <f t="shared" si="1"/>
        <v>3</v>
      </c>
      <c r="O124" s="314"/>
      <c r="P124" s="314"/>
      <c r="Q124" s="314"/>
      <c r="R124" s="314"/>
      <c r="S124" s="315"/>
    </row>
    <row r="125" spans="1:19" s="317" customFormat="1">
      <c r="A125" s="309" t="str">
        <f>HYPERLINK("http://www.wantgoo.com/stock/chart.aspx?stockno=3290","3290")</f>
        <v>3290</v>
      </c>
      <c r="B125" s="310"/>
      <c r="C125" s="311">
        <f>VLOOKUP(3290,季財報!A:H,3)</f>
        <v>0</v>
      </c>
      <c r="D125" s="311">
        <f>VLOOKUP(3290,季財報!A:H,4)</f>
        <v>0</v>
      </c>
      <c r="E125" s="311">
        <f>VLOOKUP(3290,季財報!A:H,5)</f>
        <v>1</v>
      </c>
      <c r="F125" s="311">
        <f>VLOOKUP(3290,季財報!A:H,6)</f>
        <v>0</v>
      </c>
      <c r="G125" s="311">
        <f>VLOOKUP(3290,季財報!A:H,7)</f>
        <v>0</v>
      </c>
      <c r="H125" s="312"/>
      <c r="I125" s="312"/>
      <c r="J125" s="312"/>
      <c r="K125" s="312"/>
      <c r="L125" s="312"/>
      <c r="M125" s="313"/>
      <c r="N125" s="312">
        <f t="shared" si="1"/>
        <v>1</v>
      </c>
      <c r="O125" s="314"/>
      <c r="P125" s="314"/>
      <c r="Q125" s="314"/>
      <c r="R125" s="314"/>
      <c r="S125" s="315"/>
    </row>
    <row r="126" spans="1:19" s="317" customFormat="1">
      <c r="A126" s="309" t="str">
        <f>HYPERLINK("http://www.wantgoo.com/stock/chart.aspx?stockno=1599","1599")</f>
        <v>1599</v>
      </c>
      <c r="B126" s="310"/>
      <c r="C126" s="311">
        <f>VLOOKUP(1599,季財報!A:H,3)</f>
        <v>1</v>
      </c>
      <c r="D126" s="311">
        <f>VLOOKUP(1599,季財報!A:H,4)</f>
        <v>1</v>
      </c>
      <c r="E126" s="311">
        <f>VLOOKUP(1599,季財報!A:H,5)</f>
        <v>0</v>
      </c>
      <c r="F126" s="311">
        <f>VLOOKUP(1599,季財報!A:H,6)</f>
        <v>1</v>
      </c>
      <c r="G126" s="311">
        <f>VLOOKUP(1599,季財報!A:H,7)</f>
        <v>1</v>
      </c>
      <c r="H126" s="312"/>
      <c r="I126" s="312"/>
      <c r="J126" s="312"/>
      <c r="K126" s="312"/>
      <c r="L126" s="312"/>
      <c r="M126" s="313"/>
      <c r="N126" s="312">
        <f t="shared" si="1"/>
        <v>4</v>
      </c>
      <c r="O126" s="314"/>
      <c r="P126" s="314"/>
      <c r="Q126" s="314"/>
      <c r="R126" s="314"/>
      <c r="S126" s="315"/>
    </row>
    <row r="127" spans="1:19" s="317" customFormat="1">
      <c r="A127" s="309" t="str">
        <f>HYPERLINK("http://www.wantgoo.com/stock/chart.aspx?stockno=5434","5434")</f>
        <v>5434</v>
      </c>
      <c r="B127" s="310"/>
      <c r="C127" s="311">
        <f>VLOOKUP(5434,季財報!A:H,3)</f>
        <v>1</v>
      </c>
      <c r="D127" s="311">
        <f>VLOOKUP(5434,季財報!A:H,4)</f>
        <v>1</v>
      </c>
      <c r="E127" s="311">
        <f>VLOOKUP(5434,季財報!A:H,5)</f>
        <v>0</v>
      </c>
      <c r="F127" s="311">
        <f>VLOOKUP(5434,季財報!A:H,6)</f>
        <v>1</v>
      </c>
      <c r="G127" s="311">
        <f>VLOOKUP(5434,季財報!A:H,7)</f>
        <v>0</v>
      </c>
      <c r="H127" s="312"/>
      <c r="I127" s="312"/>
      <c r="J127" s="312"/>
      <c r="K127" s="312"/>
      <c r="L127" s="312"/>
      <c r="M127" s="313"/>
      <c r="N127" s="312">
        <f t="shared" si="1"/>
        <v>3</v>
      </c>
      <c r="O127" s="314"/>
      <c r="P127" s="314"/>
      <c r="Q127" s="314"/>
      <c r="R127" s="314"/>
      <c r="S127" s="315"/>
    </row>
    <row r="128" spans="1:19" s="317" customFormat="1">
      <c r="A128" s="309" t="str">
        <f>HYPERLINK("http://www.wantgoo.com/stock/chart.aspx?stockno=8066","8066")</f>
        <v>8066</v>
      </c>
      <c r="B128" s="310"/>
      <c r="C128" s="311">
        <f>VLOOKUP(8066,季財報!A:H,3)</f>
        <v>1</v>
      </c>
      <c r="D128" s="311">
        <f>VLOOKUP(8066,季財報!A:H,4)</f>
        <v>1</v>
      </c>
      <c r="E128" s="311">
        <f>VLOOKUP(8066,季財報!A:H,5)</f>
        <v>1</v>
      </c>
      <c r="F128" s="311">
        <f>VLOOKUP(8066,季財報!A:H,6)</f>
        <v>1</v>
      </c>
      <c r="G128" s="311">
        <f>VLOOKUP(8066,季財報!A:H,7)</f>
        <v>0</v>
      </c>
      <c r="H128" s="312"/>
      <c r="I128" s="312"/>
      <c r="J128" s="312"/>
      <c r="K128" s="312"/>
      <c r="L128" s="312"/>
      <c r="M128" s="313"/>
      <c r="N128" s="312">
        <f t="shared" si="1"/>
        <v>4</v>
      </c>
      <c r="O128" s="314"/>
      <c r="P128" s="314"/>
      <c r="Q128" s="314"/>
      <c r="R128" s="314"/>
      <c r="S128" s="315"/>
    </row>
    <row r="129" spans="1:19" s="317" customFormat="1">
      <c r="A129" s="309" t="str">
        <f>HYPERLINK("http://www.wantgoo.com/stock/chart.aspx?stockno=1773","1773")</f>
        <v>1773</v>
      </c>
      <c r="B129" s="310"/>
      <c r="C129" s="311">
        <f>VLOOKUP(1773,季財報!A:H,3)</f>
        <v>1</v>
      </c>
      <c r="D129" s="311">
        <f>VLOOKUP(1773,季財報!A:H,4)</f>
        <v>1</v>
      </c>
      <c r="E129" s="311">
        <f>VLOOKUP(1773,季財報!A:H,5)</f>
        <v>2</v>
      </c>
      <c r="F129" s="311">
        <f>VLOOKUP(1773,季財報!A:H,6)</f>
        <v>1</v>
      </c>
      <c r="G129" s="311">
        <f>VLOOKUP(1773,季財報!A:H,7)</f>
        <v>0</v>
      </c>
      <c r="H129" s="312"/>
      <c r="I129" s="312"/>
      <c r="J129" s="312"/>
      <c r="K129" s="312"/>
      <c r="L129" s="312"/>
      <c r="M129" s="313"/>
      <c r="N129" s="312">
        <f t="shared" si="1"/>
        <v>5</v>
      </c>
      <c r="O129" s="314"/>
      <c r="P129" s="314"/>
      <c r="Q129" s="314"/>
      <c r="R129" s="314"/>
      <c r="S129" s="315"/>
    </row>
    <row r="130" spans="1:19" s="317" customFormat="1">
      <c r="A130" s="309" t="str">
        <f>HYPERLINK("http://www.wantgoo.com/stock/chart.aspx?stockno=3563","3563")</f>
        <v>3563</v>
      </c>
      <c r="B130" s="310"/>
      <c r="C130" s="311">
        <f>VLOOKUP(3563,季財報!A:H,3)</f>
        <v>1</v>
      </c>
      <c r="D130" s="311">
        <f>VLOOKUP(3563,季財報!A:H,4)</f>
        <v>1</v>
      </c>
      <c r="E130" s="311">
        <f>VLOOKUP(3563,季財報!A:H,5)</f>
        <v>0</v>
      </c>
      <c r="F130" s="311">
        <f>VLOOKUP(3563,季財報!A:H,6)</f>
        <v>0</v>
      </c>
      <c r="G130" s="311">
        <f>VLOOKUP(3563,季財報!A:H,7)</f>
        <v>0</v>
      </c>
      <c r="H130" s="312"/>
      <c r="I130" s="312"/>
      <c r="J130" s="312"/>
      <c r="K130" s="312"/>
      <c r="L130" s="312"/>
      <c r="M130" s="313"/>
      <c r="N130" s="312">
        <f t="shared" si="1"/>
        <v>2</v>
      </c>
      <c r="O130" s="314"/>
      <c r="P130" s="314"/>
      <c r="Q130" s="314"/>
      <c r="R130" s="314"/>
      <c r="S130" s="315"/>
    </row>
    <row r="131" spans="1:19" s="317" customFormat="1">
      <c r="A131" s="309" t="str">
        <f>HYPERLINK("http://www.wantgoo.com/stock/chart.aspx?stockno=6104","6104")</f>
        <v>6104</v>
      </c>
      <c r="B131" s="310"/>
      <c r="C131" s="311">
        <f>VLOOKUP(6104,季財報!A:H,3)</f>
        <v>0</v>
      </c>
      <c r="D131" s="311">
        <f>VLOOKUP(6104,季財報!A:H,4)</f>
        <v>1</v>
      </c>
      <c r="E131" s="311">
        <f>VLOOKUP(6104,季財報!A:H,5)</f>
        <v>0</v>
      </c>
      <c r="F131" s="311">
        <f>VLOOKUP(6104,季財報!A:H,6)</f>
        <v>1</v>
      </c>
      <c r="G131" s="311">
        <f>VLOOKUP(6104,季財報!A:H,7)</f>
        <v>0</v>
      </c>
      <c r="H131" s="312"/>
      <c r="I131" s="312"/>
      <c r="J131" s="312"/>
      <c r="K131" s="312"/>
      <c r="L131" s="312"/>
      <c r="M131" s="313"/>
      <c r="N131" s="312">
        <f t="shared" si="1"/>
        <v>2</v>
      </c>
      <c r="O131" s="314"/>
      <c r="P131" s="314"/>
      <c r="Q131" s="314"/>
      <c r="R131" s="314"/>
      <c r="S131" s="315"/>
    </row>
    <row r="132" spans="1:19" s="317" customFormat="1">
      <c r="A132" s="309" t="str">
        <f>HYPERLINK("http://www.wantgoo.com/stock/chart.aspx?stockno=3541","3541")</f>
        <v>3541</v>
      </c>
      <c r="B132" s="310"/>
      <c r="C132" s="311">
        <f>VLOOKUP(3541,季財報!A:H,3)</f>
        <v>0</v>
      </c>
      <c r="D132" s="311">
        <f>VLOOKUP(3541,季財報!A:H,4)</f>
        <v>1</v>
      </c>
      <c r="E132" s="311">
        <f>VLOOKUP(3541,季財報!A:H,5)</f>
        <v>1</v>
      </c>
      <c r="F132" s="311">
        <f>VLOOKUP(3541,季財報!A:H,6)</f>
        <v>1</v>
      </c>
      <c r="G132" s="311">
        <f>VLOOKUP(3541,季財報!A:H,7)</f>
        <v>0</v>
      </c>
      <c r="H132" s="312"/>
      <c r="I132" s="312"/>
      <c r="J132" s="312"/>
      <c r="K132" s="312"/>
      <c r="L132" s="312"/>
      <c r="M132" s="313"/>
      <c r="N132" s="312">
        <f t="shared" ref="N132:N195" si="2">SUM(C132:M132)</f>
        <v>3</v>
      </c>
      <c r="O132" s="314"/>
      <c r="P132" s="314"/>
      <c r="Q132" s="314"/>
      <c r="R132" s="314"/>
      <c r="S132" s="315"/>
    </row>
    <row r="133" spans="1:19" s="317" customFormat="1">
      <c r="A133" s="309" t="str">
        <f>HYPERLINK("http://www.wantgoo.com/stock/chart.aspx?stockno=5519","5519")</f>
        <v>5519</v>
      </c>
      <c r="B133" s="310"/>
      <c r="C133" s="311">
        <f>VLOOKUP(5519,季財報!A:H,3)</f>
        <v>0</v>
      </c>
      <c r="D133" s="311">
        <f>VLOOKUP(5519,季財報!A:H,4)</f>
        <v>1</v>
      </c>
      <c r="E133" s="311">
        <f>VLOOKUP(5519,季財報!A:H,5)</f>
        <v>0</v>
      </c>
      <c r="F133" s="311">
        <f>VLOOKUP(5519,季財報!A:H,6)</f>
        <v>1</v>
      </c>
      <c r="G133" s="311">
        <f>VLOOKUP(5519,季財報!A:H,7)</f>
        <v>0</v>
      </c>
      <c r="H133" s="312"/>
      <c r="I133" s="312"/>
      <c r="J133" s="312"/>
      <c r="K133" s="312"/>
      <c r="L133" s="312"/>
      <c r="M133" s="313"/>
      <c r="N133" s="312">
        <f t="shared" si="2"/>
        <v>2</v>
      </c>
      <c r="O133" s="314"/>
      <c r="P133" s="314"/>
      <c r="Q133" s="314"/>
      <c r="R133" s="314"/>
      <c r="S133" s="315"/>
    </row>
    <row r="134" spans="1:19" s="317" customFormat="1">
      <c r="A134" s="309" t="str">
        <f>HYPERLINK("http://www.wantgoo.com/stock/chart.aspx?stockno=3008","3008")</f>
        <v>3008</v>
      </c>
      <c r="B134" s="310"/>
      <c r="C134" s="311">
        <f>VLOOKUP(3008,季財報!A:H,3)</f>
        <v>1</v>
      </c>
      <c r="D134" s="311">
        <f>VLOOKUP(3008,季財報!A:H,4)</f>
        <v>1</v>
      </c>
      <c r="E134" s="311">
        <f>VLOOKUP(3008,季財報!A:H,5)</f>
        <v>0</v>
      </c>
      <c r="F134" s="311">
        <f>VLOOKUP(3008,季財報!A:H,6)</f>
        <v>1</v>
      </c>
      <c r="G134" s="311">
        <f>VLOOKUP(3008,季財報!A:H,7)</f>
        <v>0</v>
      </c>
      <c r="H134" s="312"/>
      <c r="I134" s="312"/>
      <c r="J134" s="312"/>
      <c r="K134" s="312"/>
      <c r="L134" s="312"/>
      <c r="M134" s="313"/>
      <c r="N134" s="312">
        <f t="shared" si="2"/>
        <v>3</v>
      </c>
      <c r="O134" s="314"/>
      <c r="P134" s="314"/>
      <c r="Q134" s="314"/>
      <c r="R134" s="314"/>
      <c r="S134" s="315"/>
    </row>
    <row r="135" spans="1:19" s="317" customFormat="1">
      <c r="A135" s="309" t="str">
        <f>HYPERLINK("http://www.wantgoo.com/stock/chart.aspx?stockno=5215","5215")</f>
        <v>5215</v>
      </c>
      <c r="B135" s="310"/>
      <c r="C135" s="311">
        <f>VLOOKUP(5215,季財報!A:H,3)</f>
        <v>0</v>
      </c>
      <c r="D135" s="311">
        <f>VLOOKUP(5215,季財報!A:H,4)</f>
        <v>1</v>
      </c>
      <c r="E135" s="311">
        <f>VLOOKUP(5215,季財報!A:H,5)</f>
        <v>2</v>
      </c>
      <c r="F135" s="311">
        <f>VLOOKUP(5215,季財報!A:H,6)</f>
        <v>1</v>
      </c>
      <c r="G135" s="311">
        <f>VLOOKUP(5215,季財報!A:H,7)</f>
        <v>0</v>
      </c>
      <c r="H135" s="312"/>
      <c r="I135" s="312"/>
      <c r="J135" s="312"/>
      <c r="K135" s="312"/>
      <c r="L135" s="312"/>
      <c r="M135" s="313"/>
      <c r="N135" s="312">
        <f t="shared" si="2"/>
        <v>4</v>
      </c>
      <c r="O135" s="314"/>
      <c r="P135" s="314"/>
      <c r="Q135" s="314"/>
      <c r="R135" s="314"/>
      <c r="S135" s="315"/>
    </row>
    <row r="136" spans="1:19" s="317" customFormat="1">
      <c r="A136" s="309" t="str">
        <f>HYPERLINK("http://www.wantgoo.com/stock/chart.aspx?stockno=6143","6143")</f>
        <v>6143</v>
      </c>
      <c r="B136" s="310"/>
      <c r="C136" s="311">
        <f>VLOOKUP(6143,季財報!A:H,3)</f>
        <v>1</v>
      </c>
      <c r="D136" s="311">
        <f>VLOOKUP(6143,季財報!A:H,4)</f>
        <v>1</v>
      </c>
      <c r="E136" s="311">
        <f>VLOOKUP(6143,季財報!A:H,5)</f>
        <v>2</v>
      </c>
      <c r="F136" s="311">
        <f>VLOOKUP(6143,季財報!A:H,6)</f>
        <v>1</v>
      </c>
      <c r="G136" s="311">
        <f>VLOOKUP(6143,季財報!A:H,7)</f>
        <v>0</v>
      </c>
      <c r="H136" s="312"/>
      <c r="I136" s="312"/>
      <c r="J136" s="312"/>
      <c r="K136" s="312"/>
      <c r="L136" s="312"/>
      <c r="M136" s="313"/>
      <c r="N136" s="312">
        <f t="shared" si="2"/>
        <v>5</v>
      </c>
      <c r="O136" s="314"/>
      <c r="P136" s="314"/>
      <c r="Q136" s="314"/>
      <c r="R136" s="314"/>
      <c r="S136" s="315"/>
    </row>
    <row r="137" spans="1:19" s="317" customFormat="1">
      <c r="A137" s="309" t="str">
        <f>HYPERLINK("http://www.wantgoo.com/stock/chart.aspx?stockno=2904","2904")</f>
        <v>2904</v>
      </c>
      <c r="B137" s="310"/>
      <c r="C137" s="311">
        <f>VLOOKUP(2904,季財報!A:H,3)</f>
        <v>0</v>
      </c>
      <c r="D137" s="311">
        <f>VLOOKUP(2904,季財報!A:H,4)</f>
        <v>1</v>
      </c>
      <c r="E137" s="311">
        <f>VLOOKUP(2904,季財報!A:H,5)</f>
        <v>1</v>
      </c>
      <c r="F137" s="311">
        <f>VLOOKUP(2904,季財報!A:H,6)</f>
        <v>1</v>
      </c>
      <c r="G137" s="311">
        <f>VLOOKUP(2904,季財報!A:H,7)</f>
        <v>0</v>
      </c>
      <c r="H137" s="312"/>
      <c r="I137" s="312"/>
      <c r="J137" s="312"/>
      <c r="K137" s="312"/>
      <c r="L137" s="312"/>
      <c r="M137" s="313"/>
      <c r="N137" s="312">
        <f t="shared" si="2"/>
        <v>3</v>
      </c>
      <c r="O137" s="314"/>
      <c r="P137" s="314"/>
      <c r="Q137" s="314"/>
      <c r="R137" s="314"/>
      <c r="S137" s="315"/>
    </row>
    <row r="138" spans="1:19" s="317" customFormat="1">
      <c r="A138" s="309" t="str">
        <f>HYPERLINK("http://www.wantgoo.com/stock/chart.aspx?stockno=1708","1708")</f>
        <v>1708</v>
      </c>
      <c r="B138" s="310"/>
      <c r="C138" s="311">
        <f>VLOOKUP(1708,季財報!A:H,3)</f>
        <v>1</v>
      </c>
      <c r="D138" s="311">
        <f>VLOOKUP(1708,季財報!A:H,4)</f>
        <v>1</v>
      </c>
      <c r="E138" s="311">
        <f>VLOOKUP(1708,季財報!A:H,5)</f>
        <v>1</v>
      </c>
      <c r="F138" s="311">
        <f>VLOOKUP(1708,季財報!A:H,6)</f>
        <v>1</v>
      </c>
      <c r="G138" s="311">
        <f>VLOOKUP(1708,季財報!A:H,7)</f>
        <v>0</v>
      </c>
      <c r="H138" s="312"/>
      <c r="I138" s="312"/>
      <c r="J138" s="312"/>
      <c r="K138" s="312"/>
      <c r="L138" s="312"/>
      <c r="M138" s="313"/>
      <c r="N138" s="312">
        <f t="shared" si="2"/>
        <v>4</v>
      </c>
      <c r="O138" s="314"/>
      <c r="P138" s="314"/>
      <c r="Q138" s="314"/>
      <c r="R138" s="314"/>
      <c r="S138" s="315"/>
    </row>
    <row r="139" spans="1:19" s="317" customFormat="1">
      <c r="A139" s="309" t="str">
        <f>HYPERLINK("http://www.wantgoo.com/stock/chart.aspx?stockno=6451","6451")</f>
        <v>6451</v>
      </c>
      <c r="B139" s="310"/>
      <c r="C139" s="311">
        <f>VLOOKUP(6451,季財報!A:H,3)</f>
        <v>0</v>
      </c>
      <c r="D139" s="311">
        <f>VLOOKUP(6451,季財報!A:H,4)</f>
        <v>1</v>
      </c>
      <c r="E139" s="311">
        <f>VLOOKUP(6451,季財報!A:H,5)</f>
        <v>0</v>
      </c>
      <c r="F139" s="311">
        <f>VLOOKUP(6451,季財報!A:H,6)</f>
        <v>0</v>
      </c>
      <c r="G139" s="311">
        <f>VLOOKUP(6451,季財報!A:H,7)</f>
        <v>0</v>
      </c>
      <c r="H139" s="312"/>
      <c r="I139" s="312"/>
      <c r="J139" s="312"/>
      <c r="K139" s="312"/>
      <c r="L139" s="312"/>
      <c r="M139" s="313"/>
      <c r="N139" s="312">
        <f t="shared" si="2"/>
        <v>1</v>
      </c>
      <c r="O139" s="314"/>
      <c r="P139" s="314"/>
      <c r="Q139" s="314"/>
      <c r="R139" s="314"/>
      <c r="S139" s="315"/>
    </row>
    <row r="140" spans="1:19" s="317" customFormat="1">
      <c r="A140" s="309" t="str">
        <f>HYPERLINK("http://www.wantgoo.com/stock/chart.aspx?stockno=2497","2497")</f>
        <v>2497</v>
      </c>
      <c r="B140" s="310"/>
      <c r="C140" s="311">
        <f>VLOOKUP(2497,季財報!A:H,3)</f>
        <v>0</v>
      </c>
      <c r="D140" s="311">
        <f>VLOOKUP(2497,季財報!A:H,4)</f>
        <v>1</v>
      </c>
      <c r="E140" s="311">
        <f>VLOOKUP(2497,季財報!A:H,5)</f>
        <v>0</v>
      </c>
      <c r="F140" s="311">
        <f>VLOOKUP(2497,季財報!A:H,6)</f>
        <v>0</v>
      </c>
      <c r="G140" s="311">
        <f>VLOOKUP(2497,季財報!A:H,7)</f>
        <v>0</v>
      </c>
      <c r="H140" s="312"/>
      <c r="I140" s="312"/>
      <c r="J140" s="312"/>
      <c r="K140" s="312"/>
      <c r="L140" s="312"/>
      <c r="M140" s="313"/>
      <c r="N140" s="312">
        <f t="shared" si="2"/>
        <v>1</v>
      </c>
      <c r="O140" s="314"/>
      <c r="P140" s="314"/>
      <c r="Q140" s="314"/>
      <c r="R140" s="314"/>
      <c r="S140" s="315"/>
    </row>
    <row r="141" spans="1:19" s="317" customFormat="1">
      <c r="A141" s="309" t="str">
        <f>HYPERLINK("http://www.wantgoo.com/stock/chart.aspx?stockno=5264","5264")</f>
        <v>5264</v>
      </c>
      <c r="B141" s="310"/>
      <c r="C141" s="311">
        <f>VLOOKUP(5264,季財報!A:H,3)</f>
        <v>1</v>
      </c>
      <c r="D141" s="311">
        <f>VLOOKUP(5264,季財報!A:H,4)</f>
        <v>1</v>
      </c>
      <c r="E141" s="311">
        <f>VLOOKUP(5264,季財報!A:H,5)</f>
        <v>0</v>
      </c>
      <c r="F141" s="311">
        <f>VLOOKUP(5264,季財報!A:H,6)</f>
        <v>1</v>
      </c>
      <c r="G141" s="311">
        <f>VLOOKUP(5264,季財報!A:H,7)</f>
        <v>0</v>
      </c>
      <c r="H141" s="312"/>
      <c r="I141" s="312"/>
      <c r="J141" s="312"/>
      <c r="K141" s="312"/>
      <c r="L141" s="312"/>
      <c r="M141" s="313"/>
      <c r="N141" s="312">
        <f t="shared" si="2"/>
        <v>3</v>
      </c>
      <c r="O141" s="314"/>
      <c r="P141" s="314"/>
      <c r="Q141" s="314"/>
      <c r="R141" s="314"/>
      <c r="S141" s="315"/>
    </row>
    <row r="142" spans="1:19" s="317" customFormat="1">
      <c r="A142" s="309" t="str">
        <f>HYPERLINK("http://www.wantgoo.com/stock/chart.aspx?stockno=3528","3528")</f>
        <v>3528</v>
      </c>
      <c r="B142" s="310"/>
      <c r="C142" s="311">
        <f>VLOOKUP(3528,季財報!A:H,3)</f>
        <v>0</v>
      </c>
      <c r="D142" s="311">
        <f>VLOOKUP(3528,季財報!A:H,4)</f>
        <v>1</v>
      </c>
      <c r="E142" s="311">
        <f>VLOOKUP(3528,季財報!A:H,5)</f>
        <v>0</v>
      </c>
      <c r="F142" s="311">
        <f>VLOOKUP(3528,季財報!A:H,6)</f>
        <v>0</v>
      </c>
      <c r="G142" s="311">
        <f>VLOOKUP(3528,季財報!A:H,7)</f>
        <v>0</v>
      </c>
      <c r="H142" s="312"/>
      <c r="I142" s="312"/>
      <c r="J142" s="312"/>
      <c r="K142" s="312"/>
      <c r="L142" s="312"/>
      <c r="M142" s="313"/>
      <c r="N142" s="312">
        <f t="shared" si="2"/>
        <v>1</v>
      </c>
      <c r="O142" s="314"/>
      <c r="P142" s="314"/>
      <c r="Q142" s="314"/>
      <c r="R142" s="314"/>
      <c r="S142" s="315"/>
    </row>
    <row r="143" spans="1:19" s="317" customFormat="1">
      <c r="A143" s="309" t="str">
        <f>HYPERLINK("http://www.wantgoo.com/stock/chart.aspx?stockno=3450","3450")</f>
        <v>3450</v>
      </c>
      <c r="B143" s="310"/>
      <c r="C143" s="311">
        <f>VLOOKUP(3450,季財報!A:H,3)</f>
        <v>1</v>
      </c>
      <c r="D143" s="311">
        <f>VLOOKUP(3450,季財報!A:H,4)</f>
        <v>1</v>
      </c>
      <c r="E143" s="311">
        <f>VLOOKUP(3450,季財報!A:H,5)</f>
        <v>0</v>
      </c>
      <c r="F143" s="311">
        <f>VLOOKUP(3450,季財報!A:H,6)</f>
        <v>1</v>
      </c>
      <c r="G143" s="311">
        <f>VLOOKUP(3450,季財報!A:H,7)</f>
        <v>0</v>
      </c>
      <c r="H143" s="312"/>
      <c r="I143" s="312"/>
      <c r="J143" s="312"/>
      <c r="K143" s="312"/>
      <c r="L143" s="312"/>
      <c r="M143" s="313"/>
      <c r="N143" s="312">
        <f t="shared" si="2"/>
        <v>3</v>
      </c>
      <c r="O143" s="314"/>
      <c r="P143" s="314"/>
      <c r="Q143" s="314"/>
      <c r="R143" s="314"/>
      <c r="S143" s="315"/>
    </row>
    <row r="144" spans="1:19" s="317" customFormat="1">
      <c r="A144" s="309" t="str">
        <f>HYPERLINK("http://www.wantgoo.com/stock/chart.aspx?stockno=4930","4930")</f>
        <v>4930</v>
      </c>
      <c r="B144" s="310"/>
      <c r="C144" s="311">
        <f>VLOOKUP(4930,季財報!A:H,3)</f>
        <v>0</v>
      </c>
      <c r="D144" s="311">
        <f>VLOOKUP(4930,季財報!A:H,4)</f>
        <v>1</v>
      </c>
      <c r="E144" s="311">
        <f>VLOOKUP(4930,季財報!A:H,5)</f>
        <v>1</v>
      </c>
      <c r="F144" s="311">
        <f>VLOOKUP(4930,季財報!A:H,6)</f>
        <v>0</v>
      </c>
      <c r="G144" s="311">
        <f>VLOOKUP(4930,季財報!A:H,7)</f>
        <v>1</v>
      </c>
      <c r="H144" s="312"/>
      <c r="I144" s="312"/>
      <c r="J144" s="312"/>
      <c r="K144" s="312"/>
      <c r="L144" s="312"/>
      <c r="M144" s="313"/>
      <c r="N144" s="312">
        <f t="shared" si="2"/>
        <v>3</v>
      </c>
      <c r="O144" s="314"/>
      <c r="P144" s="314"/>
      <c r="Q144" s="314"/>
      <c r="R144" s="314"/>
      <c r="S144" s="315"/>
    </row>
    <row r="145" spans="1:19" s="317" customFormat="1">
      <c r="A145" s="309" t="str">
        <f>HYPERLINK("http://www.wantgoo.com/stock/chart.aspx?stockno=3498","3498")</f>
        <v>3498</v>
      </c>
      <c r="B145" s="310"/>
      <c r="C145" s="311">
        <f>VLOOKUP(3498,季財報!A:H,3)</f>
        <v>1</v>
      </c>
      <c r="D145" s="311">
        <f>VLOOKUP(3498,季財報!A:H,4)</f>
        <v>1</v>
      </c>
      <c r="E145" s="311">
        <f>VLOOKUP(3498,季財報!A:H,5)</f>
        <v>1</v>
      </c>
      <c r="F145" s="311">
        <f>VLOOKUP(3498,季財報!A:H,6)</f>
        <v>1</v>
      </c>
      <c r="G145" s="311">
        <f>VLOOKUP(3498,季財報!A:H,7)</f>
        <v>0</v>
      </c>
      <c r="H145" s="312"/>
      <c r="I145" s="312"/>
      <c r="J145" s="312"/>
      <c r="K145" s="312"/>
      <c r="L145" s="312"/>
      <c r="M145" s="313"/>
      <c r="N145" s="312">
        <f t="shared" si="2"/>
        <v>4</v>
      </c>
      <c r="O145" s="314"/>
      <c r="P145" s="314"/>
      <c r="Q145" s="314"/>
      <c r="R145" s="314"/>
      <c r="S145" s="315"/>
    </row>
    <row r="146" spans="1:19" s="317" customFormat="1">
      <c r="A146" s="309" t="str">
        <f>HYPERLINK("http://www.wantgoo.com/stock/chart.aspx?stockno=2107","2107")</f>
        <v>2107</v>
      </c>
      <c r="B146" s="310"/>
      <c r="C146" s="311">
        <f>VLOOKUP(2107,季財報!A:H,3)</f>
        <v>0</v>
      </c>
      <c r="D146" s="311">
        <f>VLOOKUP(2107,季財報!A:H,4)</f>
        <v>1</v>
      </c>
      <c r="E146" s="311">
        <f>VLOOKUP(2107,季財報!A:H,5)</f>
        <v>0</v>
      </c>
      <c r="F146" s="311">
        <f>VLOOKUP(2107,季財報!A:H,6)</f>
        <v>1</v>
      </c>
      <c r="G146" s="311">
        <f>VLOOKUP(2107,季財報!A:H,7)</f>
        <v>0</v>
      </c>
      <c r="H146" s="312"/>
      <c r="I146" s="312"/>
      <c r="J146" s="312"/>
      <c r="K146" s="312"/>
      <c r="L146" s="312"/>
      <c r="M146" s="313"/>
      <c r="N146" s="312">
        <f t="shared" si="2"/>
        <v>2</v>
      </c>
      <c r="O146" s="314"/>
      <c r="P146" s="314"/>
      <c r="Q146" s="314"/>
      <c r="R146" s="314"/>
      <c r="S146" s="315"/>
    </row>
    <row r="147" spans="1:19" s="317" customFormat="1">
      <c r="A147" s="309" t="str">
        <f>HYPERLINK("http://www.wantgoo.com/stock/chart.aspx?stockno=3078","3078")</f>
        <v>3078</v>
      </c>
      <c r="B147" s="310"/>
      <c r="C147" s="311">
        <f>VLOOKUP(3078,季財報!A:H,3)</f>
        <v>1</v>
      </c>
      <c r="D147" s="311">
        <f>VLOOKUP(3078,季財報!A:H,4)</f>
        <v>1</v>
      </c>
      <c r="E147" s="311">
        <f>VLOOKUP(3078,季財報!A:H,5)</f>
        <v>2</v>
      </c>
      <c r="F147" s="311">
        <f>VLOOKUP(3078,季財報!A:H,6)</f>
        <v>0</v>
      </c>
      <c r="G147" s="311">
        <f>VLOOKUP(3078,季財報!A:H,7)</f>
        <v>0</v>
      </c>
      <c r="H147" s="312"/>
      <c r="I147" s="312"/>
      <c r="J147" s="312"/>
      <c r="K147" s="312"/>
      <c r="L147" s="312"/>
      <c r="M147" s="313"/>
      <c r="N147" s="312">
        <f t="shared" si="2"/>
        <v>4</v>
      </c>
      <c r="O147" s="314"/>
      <c r="P147" s="314"/>
      <c r="Q147" s="314"/>
      <c r="R147" s="314"/>
      <c r="S147" s="315"/>
    </row>
    <row r="148" spans="1:19" s="317" customFormat="1">
      <c r="A148" s="309" t="str">
        <f>HYPERLINK("http://www.wantgoo.com/stock/chart.aspx?stockno=3356","3356")</f>
        <v>3356</v>
      </c>
      <c r="B148" s="310"/>
      <c r="C148" s="311">
        <f>VLOOKUP(3356,季財報!A:H,3)</f>
        <v>0</v>
      </c>
      <c r="D148" s="311">
        <f>VLOOKUP(3356,季財報!A:H,4)</f>
        <v>1</v>
      </c>
      <c r="E148" s="311">
        <f>VLOOKUP(3356,季財報!A:H,5)</f>
        <v>2</v>
      </c>
      <c r="F148" s="311">
        <f>VLOOKUP(3356,季財報!A:H,6)</f>
        <v>1</v>
      </c>
      <c r="G148" s="311">
        <f>VLOOKUP(3356,季財報!A:H,7)</f>
        <v>0</v>
      </c>
      <c r="H148" s="312"/>
      <c r="I148" s="312"/>
      <c r="J148" s="312"/>
      <c r="K148" s="312"/>
      <c r="L148" s="312"/>
      <c r="M148" s="313"/>
      <c r="N148" s="312">
        <f t="shared" si="2"/>
        <v>4</v>
      </c>
      <c r="O148" s="314"/>
      <c r="P148" s="314"/>
      <c r="Q148" s="314"/>
      <c r="R148" s="314"/>
      <c r="S148" s="315"/>
    </row>
    <row r="149" spans="1:19" s="317" customFormat="1">
      <c r="A149" s="309" t="str">
        <f>HYPERLINK("http://www.wantgoo.com/stock/chart.aspx?stockno=3623","3623")</f>
        <v>3623</v>
      </c>
      <c r="B149" s="310"/>
      <c r="C149" s="311">
        <f>VLOOKUP(3623,季財報!A:H,3)</f>
        <v>0</v>
      </c>
      <c r="D149" s="311">
        <f>VLOOKUP(3623,季財報!A:H,4)</f>
        <v>1</v>
      </c>
      <c r="E149" s="311">
        <f>VLOOKUP(3623,季財報!A:H,5)</f>
        <v>1</v>
      </c>
      <c r="F149" s="311">
        <f>VLOOKUP(3623,季財報!A:H,6)</f>
        <v>1</v>
      </c>
      <c r="G149" s="311">
        <f>VLOOKUP(3623,季財報!A:H,7)</f>
        <v>0</v>
      </c>
      <c r="H149" s="312"/>
      <c r="I149" s="312"/>
      <c r="J149" s="312"/>
      <c r="K149" s="312"/>
      <c r="L149" s="312"/>
      <c r="M149" s="313"/>
      <c r="N149" s="312">
        <f t="shared" si="2"/>
        <v>3</v>
      </c>
      <c r="O149" s="314"/>
      <c r="P149" s="314"/>
      <c r="Q149" s="314"/>
      <c r="R149" s="314"/>
      <c r="S149" s="315"/>
    </row>
    <row r="150" spans="1:19" s="317" customFormat="1">
      <c r="A150" s="309" t="str">
        <f>HYPERLINK("http://www.wantgoo.com/stock/chart.aspx?stockno=5489","5489")</f>
        <v>5489</v>
      </c>
      <c r="B150" s="310"/>
      <c r="C150" s="311">
        <f>VLOOKUP(5489,季財報!A:H,3)</f>
        <v>0</v>
      </c>
      <c r="D150" s="311">
        <f>VLOOKUP(5489,季財報!A:H,4)</f>
        <v>1</v>
      </c>
      <c r="E150" s="311">
        <f>VLOOKUP(5489,季財報!A:H,5)</f>
        <v>0</v>
      </c>
      <c r="F150" s="311">
        <f>VLOOKUP(5489,季財報!A:H,6)</f>
        <v>1</v>
      </c>
      <c r="G150" s="311">
        <f>VLOOKUP(5489,季財報!A:H,7)</f>
        <v>0</v>
      </c>
      <c r="H150" s="312"/>
      <c r="I150" s="312"/>
      <c r="J150" s="312"/>
      <c r="K150" s="312"/>
      <c r="L150" s="312"/>
      <c r="M150" s="313"/>
      <c r="N150" s="312">
        <f t="shared" si="2"/>
        <v>2</v>
      </c>
      <c r="O150" s="314"/>
      <c r="P150" s="314"/>
      <c r="Q150" s="314"/>
      <c r="R150" s="314"/>
      <c r="S150" s="315"/>
    </row>
    <row r="151" spans="1:19">
      <c r="A151" s="307" t="str">
        <f>HYPERLINK("http://www.wantgoo.com/stock/chart.aspx?stockno=3038","3038")</f>
        <v>3038</v>
      </c>
      <c r="C151" s="18">
        <f>VLOOKUP(3038,季財報!A:H,3)</f>
        <v>1</v>
      </c>
      <c r="D151" s="18">
        <f>VLOOKUP(3038,季財報!A:H,4)</f>
        <v>1</v>
      </c>
      <c r="E151" s="18">
        <f>VLOOKUP(3038,季財報!A:H,5)</f>
        <v>0</v>
      </c>
      <c r="F151" s="18">
        <f>VLOOKUP(3038,季財報!A:H,6)</f>
        <v>1</v>
      </c>
      <c r="G151" s="18">
        <f>VLOOKUP(3038,季財報!A:H,7)</f>
        <v>0</v>
      </c>
      <c r="N151" s="20">
        <f t="shared" si="2"/>
        <v>3</v>
      </c>
    </row>
    <row r="152" spans="1:19" s="317" customFormat="1">
      <c r="A152" s="309" t="str">
        <f>HYPERLINK("http://www.wantgoo.com/stock/chart.aspx?stockno=8048","8048")</f>
        <v>8048</v>
      </c>
      <c r="B152" s="310"/>
      <c r="C152" s="311">
        <f>VLOOKUP(8048,季財報!A:H,3)</f>
        <v>1</v>
      </c>
      <c r="D152" s="311">
        <f>VLOOKUP(8048,季財報!A:H,4)</f>
        <v>1</v>
      </c>
      <c r="E152" s="311">
        <f>VLOOKUP(8048,季財報!A:H,5)</f>
        <v>2</v>
      </c>
      <c r="F152" s="311">
        <f>VLOOKUP(8048,季財報!A:H,6)</f>
        <v>1</v>
      </c>
      <c r="G152" s="311">
        <f>VLOOKUP(8048,季財報!A:H,7)</f>
        <v>0</v>
      </c>
      <c r="H152" s="312"/>
      <c r="I152" s="312"/>
      <c r="J152" s="312"/>
      <c r="K152" s="312"/>
      <c r="L152" s="312"/>
      <c r="M152" s="313"/>
      <c r="N152" s="312">
        <f t="shared" si="2"/>
        <v>5</v>
      </c>
      <c r="O152" s="314"/>
      <c r="P152" s="314"/>
      <c r="Q152" s="314"/>
      <c r="R152" s="314"/>
      <c r="S152" s="315"/>
    </row>
    <row r="153" spans="1:19">
      <c r="A153" s="307" t="str">
        <f>HYPERLINK("http://www.wantgoo.com/stock/chart.aspx?stockno=3090","3090")</f>
        <v>3090</v>
      </c>
      <c r="C153" s="18">
        <f>VLOOKUP(3090,季財報!A:H,3)</f>
        <v>0</v>
      </c>
      <c r="D153" s="18">
        <f>VLOOKUP(3090,季財報!A:H,4)</f>
        <v>1</v>
      </c>
      <c r="E153" s="18">
        <f>VLOOKUP(3090,季財報!A:H,5)</f>
        <v>0</v>
      </c>
      <c r="F153" s="18">
        <f>VLOOKUP(3090,季財報!A:H,6)</f>
        <v>1</v>
      </c>
      <c r="G153" s="18">
        <f>VLOOKUP(3090,季財報!A:H,7)</f>
        <v>0</v>
      </c>
      <c r="N153" s="20">
        <f t="shared" si="2"/>
        <v>2</v>
      </c>
    </row>
    <row r="154" spans="1:19">
      <c r="A154" s="308" t="str">
        <f>HYPERLINK("http://www.wantgoo.com/stock/chart.aspx?stockno=3005","3005")</f>
        <v>3005</v>
      </c>
      <c r="C154" s="18">
        <f>VLOOKUP(3005,季財報!A:H,3)</f>
        <v>0</v>
      </c>
      <c r="D154" s="18">
        <f>VLOOKUP(3005,季財報!A:H,4)</f>
        <v>1</v>
      </c>
      <c r="E154" s="18">
        <f>VLOOKUP(3005,季財報!A:H,5)</f>
        <v>0</v>
      </c>
      <c r="F154" s="18">
        <f>VLOOKUP(3005,季財報!A:H,6)</f>
        <v>1</v>
      </c>
      <c r="G154" s="18">
        <f>VLOOKUP(3005,季財報!A:H,7)</f>
        <v>0</v>
      </c>
      <c r="N154" s="20">
        <f t="shared" si="2"/>
        <v>2</v>
      </c>
    </row>
    <row r="155" spans="1:19" s="317" customFormat="1">
      <c r="A155" s="309" t="str">
        <f>HYPERLINK("http://www.wantgoo.com/stock/chart.aspx?stockno=4506","4506")</f>
        <v>4506</v>
      </c>
      <c r="B155" s="310"/>
      <c r="C155" s="311">
        <f>VLOOKUP(4506,季財報!A:H,3)</f>
        <v>1</v>
      </c>
      <c r="D155" s="311">
        <f>VLOOKUP(4506,季財報!A:H,4)</f>
        <v>1</v>
      </c>
      <c r="E155" s="311">
        <f>VLOOKUP(4506,季財報!A:H,5)</f>
        <v>2</v>
      </c>
      <c r="F155" s="311">
        <f>VLOOKUP(4506,季財報!A:H,6)</f>
        <v>1</v>
      </c>
      <c r="G155" s="311">
        <f>VLOOKUP(4506,季財報!A:H,7)</f>
        <v>1</v>
      </c>
      <c r="H155" s="312"/>
      <c r="I155" s="312"/>
      <c r="J155" s="312"/>
      <c r="K155" s="312"/>
      <c r="L155" s="312"/>
      <c r="M155" s="313"/>
      <c r="N155" s="312">
        <f t="shared" si="2"/>
        <v>6</v>
      </c>
      <c r="O155" s="314"/>
      <c r="P155" s="314"/>
      <c r="Q155" s="314"/>
      <c r="R155" s="314"/>
      <c r="S155" s="315"/>
    </row>
    <row r="156" spans="1:19">
      <c r="A156" s="307" t="str">
        <f>HYPERLINK("http://www.wantgoo.com/stock/chart.aspx?stockno=1323","1323")</f>
        <v>1323</v>
      </c>
      <c r="C156" s="18">
        <f>VLOOKUP(1323,季財報!A:H,3)</f>
        <v>0</v>
      </c>
      <c r="D156" s="18">
        <f>VLOOKUP(1323,季財報!A:H,4)</f>
        <v>1</v>
      </c>
      <c r="E156" s="18">
        <f>VLOOKUP(1323,季財報!A:H,5)</f>
        <v>0</v>
      </c>
      <c r="F156" s="18">
        <f>VLOOKUP(1323,季財報!A:H,6)</f>
        <v>1</v>
      </c>
      <c r="G156" s="18">
        <f>VLOOKUP(1323,季財報!A:H,7)</f>
        <v>0</v>
      </c>
      <c r="N156" s="20">
        <f t="shared" si="2"/>
        <v>2</v>
      </c>
    </row>
    <row r="157" spans="1:19">
      <c r="A157" s="308" t="str">
        <f>HYPERLINK("http://www.wantgoo.com/stock/chart.aspx?stockno=2302","2302")</f>
        <v>2302</v>
      </c>
      <c r="C157" s="18">
        <f>VLOOKUP(2302,季財報!A:H,3)</f>
        <v>0</v>
      </c>
      <c r="D157" s="18">
        <f>VLOOKUP(2302,季財報!A:H,4)</f>
        <v>1</v>
      </c>
      <c r="E157" s="18">
        <f>VLOOKUP(2302,季財報!A:H,5)</f>
        <v>0</v>
      </c>
      <c r="F157" s="18">
        <f>VLOOKUP(2302,季財報!A:H,6)</f>
        <v>1</v>
      </c>
      <c r="G157" s="18">
        <f>VLOOKUP(2302,季財報!A:H,7)</f>
        <v>0</v>
      </c>
      <c r="N157" s="20">
        <f t="shared" si="2"/>
        <v>2</v>
      </c>
    </row>
    <row r="158" spans="1:19">
      <c r="A158" s="307" t="str">
        <f>HYPERLINK("http://www.wantgoo.com/stock/chart.aspx?stockno=8271","8271")</f>
        <v>8271</v>
      </c>
      <c r="C158" s="18">
        <f>VLOOKUP(8271,季財報!A:H,3)</f>
        <v>0</v>
      </c>
      <c r="D158" s="18">
        <f>VLOOKUP(8271,季財報!A:H,4)</f>
        <v>0</v>
      </c>
      <c r="E158" s="18">
        <f>VLOOKUP(8271,季財報!A:H,5)</f>
        <v>1</v>
      </c>
      <c r="F158" s="18">
        <f>VLOOKUP(8271,季財報!A:H,6)</f>
        <v>1</v>
      </c>
      <c r="G158" s="18">
        <f>VLOOKUP(8271,季財報!A:H,7)</f>
        <v>0</v>
      </c>
      <c r="N158" s="20">
        <f t="shared" si="2"/>
        <v>2</v>
      </c>
    </row>
    <row r="159" spans="1:19">
      <c r="A159" s="308" t="str">
        <f>HYPERLINK("http://www.wantgoo.com/stock/chart.aspx?stockno=6274","6274")</f>
        <v>6274</v>
      </c>
      <c r="C159" s="18">
        <f>VLOOKUP(6274,季財報!A:H,3)</f>
        <v>1</v>
      </c>
      <c r="D159" s="18">
        <f>VLOOKUP(6274,季財報!A:H,4)</f>
        <v>1</v>
      </c>
      <c r="E159" s="18">
        <f>VLOOKUP(6274,季財報!A:H,5)</f>
        <v>0</v>
      </c>
      <c r="F159" s="18">
        <f>VLOOKUP(6274,季財報!A:H,6)</f>
        <v>1</v>
      </c>
      <c r="G159" s="18">
        <f>VLOOKUP(6274,季財報!A:H,7)</f>
        <v>0</v>
      </c>
      <c r="N159" s="20">
        <f t="shared" si="2"/>
        <v>3</v>
      </c>
    </row>
    <row r="160" spans="1:19">
      <c r="A160" s="307" t="str">
        <f>HYPERLINK("http://www.wantgoo.com/stock/chart.aspx?stockno=9911","9911")</f>
        <v>9911</v>
      </c>
      <c r="C160" s="18">
        <f>VLOOKUP(9911,季財報!A:H,3)</f>
        <v>0</v>
      </c>
      <c r="D160" s="18">
        <f>VLOOKUP(9911,季財報!A:H,4)</f>
        <v>1</v>
      </c>
      <c r="E160" s="18">
        <f>VLOOKUP(9911,季財報!A:H,5)</f>
        <v>0</v>
      </c>
      <c r="F160" s="18">
        <f>VLOOKUP(9911,季財報!A:H,6)</f>
        <v>1</v>
      </c>
      <c r="G160" s="18">
        <f>VLOOKUP(9911,季財報!A:H,7)</f>
        <v>0</v>
      </c>
      <c r="N160" s="20">
        <f t="shared" si="2"/>
        <v>2</v>
      </c>
    </row>
    <row r="161" spans="1:14">
      <c r="A161" s="308" t="str">
        <f>HYPERLINK("http://www.wantgoo.com/stock/chart.aspx?stockno=6298","6298")</f>
        <v>6298</v>
      </c>
      <c r="C161" s="18">
        <f>VLOOKUP(6298,季財報!A:H,3)</f>
        <v>0</v>
      </c>
      <c r="D161" s="18">
        <f>VLOOKUP(6298,季財報!A:H,4)</f>
        <v>1</v>
      </c>
      <c r="E161" s="18">
        <f>VLOOKUP(6298,季財報!A:H,5)</f>
        <v>1</v>
      </c>
      <c r="F161" s="18">
        <f>VLOOKUP(6298,季財報!A:H,6)</f>
        <v>1</v>
      </c>
      <c r="G161" s="18">
        <f>VLOOKUP(6298,季財報!A:H,7)</f>
        <v>0</v>
      </c>
      <c r="N161" s="20">
        <f t="shared" si="2"/>
        <v>3</v>
      </c>
    </row>
    <row r="162" spans="1:14">
      <c r="A162" s="307" t="str">
        <f>HYPERLINK("http://www.wantgoo.com/stock/chart.aspx?stockno=6192","6192")</f>
        <v>6192</v>
      </c>
      <c r="C162" s="18">
        <f>VLOOKUP(6192,季財報!A:H,3)</f>
        <v>0</v>
      </c>
      <c r="D162" s="18">
        <f>VLOOKUP(6192,季財報!A:H,4)</f>
        <v>1</v>
      </c>
      <c r="E162" s="18">
        <f>VLOOKUP(6192,季財報!A:H,5)</f>
        <v>1</v>
      </c>
      <c r="F162" s="18">
        <f>VLOOKUP(6192,季財報!A:H,6)</f>
        <v>1</v>
      </c>
      <c r="G162" s="18">
        <f>VLOOKUP(6192,季財報!A:H,7)</f>
        <v>0</v>
      </c>
      <c r="N162" s="20">
        <f t="shared" si="2"/>
        <v>3</v>
      </c>
    </row>
    <row r="163" spans="1:14">
      <c r="A163" s="307" t="str">
        <f>HYPERLINK("http://www.wantgoo.com/stock/chart.aspx?stockno=3684","3684")</f>
        <v>3684</v>
      </c>
      <c r="C163" s="18">
        <f>VLOOKUP(3684,季財報!A:H,3)</f>
        <v>1</v>
      </c>
      <c r="D163" s="18">
        <f>VLOOKUP(3684,季財報!A:H,4)</f>
        <v>1</v>
      </c>
      <c r="E163" s="18">
        <f>VLOOKUP(3684,季財報!A:H,5)</f>
        <v>0</v>
      </c>
      <c r="F163" s="18">
        <f>VLOOKUP(3684,季財報!A:H,6)</f>
        <v>1</v>
      </c>
      <c r="G163" s="18">
        <f>VLOOKUP(3684,季財報!A:H,7)</f>
        <v>0</v>
      </c>
      <c r="N163" s="20">
        <f t="shared" si="2"/>
        <v>3</v>
      </c>
    </row>
    <row r="164" spans="1:14">
      <c r="A164" s="307" t="str">
        <f>HYPERLINK("http://www.wantgoo.com/stock/chart.aspx?stockno=2317","2317")</f>
        <v>2317</v>
      </c>
      <c r="C164" s="18">
        <f>VLOOKUP(2317,季財報!A:H,3)</f>
        <v>0</v>
      </c>
      <c r="D164" s="18">
        <f>VLOOKUP(2317,季財報!A:H,4)</f>
        <v>1</v>
      </c>
      <c r="E164" s="18">
        <f>VLOOKUP(2317,季財報!A:H,5)</f>
        <v>0</v>
      </c>
      <c r="F164" s="18">
        <f>VLOOKUP(2317,季財報!A:H,6)</f>
        <v>0</v>
      </c>
      <c r="G164" s="18">
        <f>VLOOKUP(2317,季財報!A:H,7)</f>
        <v>0</v>
      </c>
      <c r="N164" s="20">
        <f t="shared" si="2"/>
        <v>1</v>
      </c>
    </row>
    <row r="165" spans="1:14">
      <c r="A165" s="307" t="str">
        <f>HYPERLINK("http://www.wantgoo.com/stock/chart.aspx?stockno=6206","6206")</f>
        <v>6206</v>
      </c>
      <c r="C165" s="18">
        <f>VLOOKUP(6206,季財報!A:H,3)</f>
        <v>0</v>
      </c>
      <c r="D165" s="18">
        <f>VLOOKUP(6206,季財報!A:H,4)</f>
        <v>1</v>
      </c>
      <c r="E165" s="18">
        <f>VLOOKUP(6206,季財報!A:H,5)</f>
        <v>0</v>
      </c>
      <c r="F165" s="18">
        <f>VLOOKUP(6206,季財報!A:H,6)</f>
        <v>1</v>
      </c>
      <c r="G165" s="18">
        <f>VLOOKUP(6206,季財報!A:H,7)</f>
        <v>0</v>
      </c>
      <c r="N165" s="20">
        <f t="shared" si="2"/>
        <v>2</v>
      </c>
    </row>
    <row r="166" spans="1:14">
      <c r="A166" s="307" t="str">
        <f>HYPERLINK("http://www.wantgoo.com/stock/chart.aspx?stockno=8050","8050")</f>
        <v>8050</v>
      </c>
      <c r="C166" s="18">
        <f>VLOOKUP(8050,季財報!A:H,3)</f>
        <v>0</v>
      </c>
      <c r="D166" s="18">
        <f>VLOOKUP(8050,季財報!A:H,4)</f>
        <v>1</v>
      </c>
      <c r="E166" s="18">
        <f>VLOOKUP(8050,季財報!A:H,5)</f>
        <v>0</v>
      </c>
      <c r="F166" s="18">
        <f>VLOOKUP(8050,季財報!A:H,6)</f>
        <v>1</v>
      </c>
      <c r="G166" s="18">
        <f>VLOOKUP(8050,季財報!A:H,7)</f>
        <v>0</v>
      </c>
      <c r="N166" s="20">
        <f t="shared" si="2"/>
        <v>2</v>
      </c>
    </row>
    <row r="167" spans="1:14">
      <c r="A167" s="307" t="str">
        <f>HYPERLINK("http://www.wantgoo.com/stock/chart.aspx?stockno=8150","8150")</f>
        <v>8150</v>
      </c>
      <c r="C167" s="18">
        <f>VLOOKUP(8150,季財報!A:H,3)</f>
        <v>0</v>
      </c>
      <c r="D167" s="18">
        <f>VLOOKUP(8150,季財報!A:H,4)</f>
        <v>1</v>
      </c>
      <c r="E167" s="18">
        <f>VLOOKUP(8150,季財報!A:H,5)</f>
        <v>0</v>
      </c>
      <c r="F167" s="18">
        <f>VLOOKUP(8150,季財報!A:H,6)</f>
        <v>1</v>
      </c>
      <c r="G167" s="18">
        <f>VLOOKUP(8150,季財報!A:H,7)</f>
        <v>0</v>
      </c>
      <c r="N167" s="20">
        <f t="shared" si="2"/>
        <v>2</v>
      </c>
    </row>
    <row r="168" spans="1:14">
      <c r="A168" s="308" t="str">
        <f>HYPERLINK("http://www.wantgoo.com/stock/chart.aspx?stockno=6189","6189")</f>
        <v>6189</v>
      </c>
      <c r="C168" s="18">
        <f>VLOOKUP(6189,季財報!A:H,3)</f>
        <v>1</v>
      </c>
      <c r="D168" s="18">
        <f>VLOOKUP(6189,季財報!A:H,4)</f>
        <v>1</v>
      </c>
      <c r="E168" s="18">
        <f>VLOOKUP(6189,季財報!A:H,5)</f>
        <v>1</v>
      </c>
      <c r="F168" s="18">
        <f>VLOOKUP(6189,季財報!A:H,6)</f>
        <v>1</v>
      </c>
      <c r="G168" s="18">
        <f>VLOOKUP(6189,季財報!A:H,7)</f>
        <v>0</v>
      </c>
      <c r="N168" s="20">
        <f t="shared" si="2"/>
        <v>4</v>
      </c>
    </row>
    <row r="169" spans="1:14">
      <c r="A169" s="307" t="str">
        <f>HYPERLINK("http://www.wantgoo.com/stock/chart.aspx?stockno=1264","1264")</f>
        <v>1264</v>
      </c>
      <c r="C169" s="18">
        <f>VLOOKUP(1264,季財報!A:H,3)</f>
        <v>0</v>
      </c>
      <c r="D169" s="18">
        <f>VLOOKUP(1264,季財報!A:H,4)</f>
        <v>1</v>
      </c>
      <c r="E169" s="18">
        <f>VLOOKUP(1264,季財報!A:H,5)</f>
        <v>0</v>
      </c>
      <c r="F169" s="18">
        <f>VLOOKUP(1264,季財報!A:H,6)</f>
        <v>1</v>
      </c>
      <c r="G169" s="18">
        <f>VLOOKUP(1264,季財報!A:H,7)</f>
        <v>0</v>
      </c>
      <c r="N169" s="20">
        <f t="shared" si="2"/>
        <v>2</v>
      </c>
    </row>
    <row r="170" spans="1:14">
      <c r="A170" s="307" t="str">
        <f>HYPERLINK("http://www.wantgoo.com/stock/chart.aspx?stockno=3060","3060")</f>
        <v>3060</v>
      </c>
      <c r="C170" s="18">
        <f>VLOOKUP(3060,季財報!A:H,3)</f>
        <v>1</v>
      </c>
      <c r="D170" s="18">
        <f>VLOOKUP(3060,季財報!A:H,4)</f>
        <v>1</v>
      </c>
      <c r="E170" s="18">
        <f>VLOOKUP(3060,季財報!A:H,5)</f>
        <v>0</v>
      </c>
      <c r="F170" s="18">
        <f>VLOOKUP(3060,季財報!A:H,6)</f>
        <v>1</v>
      </c>
      <c r="G170" s="18">
        <f>VLOOKUP(3060,季財報!A:H,7)</f>
        <v>0</v>
      </c>
      <c r="N170" s="20">
        <f t="shared" si="2"/>
        <v>3</v>
      </c>
    </row>
    <row r="171" spans="1:14">
      <c r="A171" s="308" t="str">
        <f>HYPERLINK("http://www.wantgoo.com/stock/chart.aspx?stockno=2426","2426")</f>
        <v>2426</v>
      </c>
      <c r="C171" s="18">
        <f>VLOOKUP(2426,季財報!A:H,3)</f>
        <v>0</v>
      </c>
      <c r="D171" s="18">
        <f>VLOOKUP(2426,季財報!A:H,4)</f>
        <v>1</v>
      </c>
      <c r="E171" s="18">
        <f>VLOOKUP(2426,季財報!A:H,5)</f>
        <v>0</v>
      </c>
      <c r="F171" s="18">
        <f>VLOOKUP(2426,季財報!A:H,6)</f>
        <v>1</v>
      </c>
      <c r="G171" s="18">
        <f>VLOOKUP(2426,季財報!A:H,7)</f>
        <v>0</v>
      </c>
      <c r="N171" s="20">
        <f t="shared" si="2"/>
        <v>2</v>
      </c>
    </row>
    <row r="172" spans="1:14">
      <c r="A172" s="307" t="str">
        <f>HYPERLINK("http://www.wantgoo.com/stock/chart.aspx?stockno=4991","4991")</f>
        <v>4991</v>
      </c>
      <c r="C172" s="18">
        <f>VLOOKUP(4991,季財報!A:H,3)</f>
        <v>1</v>
      </c>
      <c r="D172" s="18">
        <f>VLOOKUP(4991,季財報!A:H,4)</f>
        <v>1</v>
      </c>
      <c r="E172" s="18">
        <f>VLOOKUP(4991,季財報!A:H,5)</f>
        <v>0</v>
      </c>
      <c r="F172" s="18">
        <f>VLOOKUP(4991,季財報!A:H,6)</f>
        <v>1</v>
      </c>
      <c r="G172" s="18">
        <f>VLOOKUP(4991,季財報!A:H,7)</f>
        <v>1</v>
      </c>
      <c r="N172" s="20">
        <f t="shared" si="2"/>
        <v>4</v>
      </c>
    </row>
    <row r="173" spans="1:14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4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4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4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4">
      <c r="A177" s="308" t="str">
        <f>HYPERLINK("http://www.wantgoo.com/stock/chart.aspx?stockno=8299","8299")</f>
        <v>8299</v>
      </c>
      <c r="C177" s="18">
        <f>VLOOKUP(8299,季財報!A:H,3)</f>
        <v>1</v>
      </c>
      <c r="D177" s="18">
        <f>VLOOKUP(8299,季財報!A:H,4)</f>
        <v>1</v>
      </c>
      <c r="E177" s="18">
        <f>VLOOKUP(8299,季財報!A:H,5)</f>
        <v>1</v>
      </c>
      <c r="F177" s="18">
        <f>VLOOKUP(8299,季財報!A:H,6)</f>
        <v>1</v>
      </c>
      <c r="G177" s="18">
        <f>VLOOKUP(8299,季財報!A:H,7)</f>
        <v>0</v>
      </c>
      <c r="N177" s="20">
        <f t="shared" si="2"/>
        <v>4</v>
      </c>
    </row>
    <row r="178" spans="1:14">
      <c r="A178" s="308" t="str">
        <f>HYPERLINK("http://www.wantgoo.com/stock/chart.aspx?stockno=9924","9924")</f>
        <v>9924</v>
      </c>
      <c r="C178" s="18">
        <f>VLOOKUP(9924,季財報!A:H,3)</f>
        <v>1</v>
      </c>
      <c r="D178" s="18">
        <f>VLOOKUP(9924,季財報!A:H,4)</f>
        <v>1</v>
      </c>
      <c r="E178" s="18">
        <f>VLOOKUP(9924,季財報!A:H,5)</f>
        <v>1</v>
      </c>
      <c r="F178" s="18">
        <f>VLOOKUP(9924,季財報!A:H,6)</f>
        <v>1</v>
      </c>
      <c r="G178" s="18">
        <f>VLOOKUP(9924,季財報!A:H,7)</f>
        <v>0</v>
      </c>
      <c r="N178" s="20">
        <f t="shared" si="2"/>
        <v>4</v>
      </c>
    </row>
    <row r="179" spans="1:14">
      <c r="A179" s="307" t="str">
        <f>HYPERLINK("http://www.wantgoo.com/stock/chart.aspx?stockno=2106","2106")</f>
        <v>2106</v>
      </c>
      <c r="C179" s="18">
        <f>VLOOKUP(2106,季財報!A:H,3)</f>
        <v>1</v>
      </c>
      <c r="D179" s="18">
        <f>VLOOKUP(2106,季財報!A:H,4)</f>
        <v>1</v>
      </c>
      <c r="E179" s="18">
        <f>VLOOKUP(2106,季財報!A:H,5)</f>
        <v>0</v>
      </c>
      <c r="F179" s="18">
        <f>VLOOKUP(2106,季財報!A:H,6)</f>
        <v>1</v>
      </c>
      <c r="G179" s="18">
        <f>VLOOKUP(2106,季財報!A:H,7)</f>
        <v>0</v>
      </c>
      <c r="N179" s="20">
        <f t="shared" si="2"/>
        <v>3</v>
      </c>
    </row>
    <row r="180" spans="1:14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4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4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4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4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4">
      <c r="A185" s="307" t="str">
        <f>HYPERLINK("http://www.wantgoo.com/stock/chart.aspx?stockno=6277","6277")</f>
        <v>6277</v>
      </c>
      <c r="C185" s="18">
        <f>VLOOKUP(6277,季財報!A:H,3)</f>
        <v>0</v>
      </c>
      <c r="D185" s="18">
        <f>VLOOKUP(6277,季財報!A:H,4)</f>
        <v>1</v>
      </c>
      <c r="E185" s="18">
        <f>VLOOKUP(6277,季財報!A:H,5)</f>
        <v>0</v>
      </c>
      <c r="F185" s="18">
        <f>VLOOKUP(6277,季財報!A:H,6)</f>
        <v>1</v>
      </c>
      <c r="G185" s="18">
        <f>VLOOKUP(6277,季財報!A:H,7)</f>
        <v>0</v>
      </c>
      <c r="N185" s="20">
        <f t="shared" si="2"/>
        <v>2</v>
      </c>
    </row>
    <row r="186" spans="1:14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4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4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4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4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4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4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9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9">
      <c r="A194" s="307" t="str">
        <f>HYPERLINK("http://www.wantgoo.com/stock/chart.aspx?stockno=8210","8210")</f>
        <v>8210</v>
      </c>
      <c r="C194" s="18">
        <f>VLOOKUP(8210,季財報!A:H,3)</f>
        <v>1</v>
      </c>
      <c r="D194" s="18">
        <f>VLOOKUP(8210,季財報!A:H,4)</f>
        <v>1</v>
      </c>
      <c r="E194" s="18">
        <f>VLOOKUP(8210,季財報!A:H,5)</f>
        <v>1</v>
      </c>
      <c r="F194" s="18">
        <f>VLOOKUP(8210,季財報!A:H,6)</f>
        <v>1</v>
      </c>
      <c r="G194" s="18">
        <f>VLOOKUP(8210,季財報!A:H,7)</f>
        <v>0</v>
      </c>
      <c r="N194" s="20">
        <f t="shared" si="2"/>
        <v>4</v>
      </c>
    </row>
    <row r="195" spans="1:19">
      <c r="A195" s="307" t="str">
        <f>HYPERLINK("http://www.wantgoo.com/stock/chart.aspx?stockno=3454","3454")</f>
        <v>3454</v>
      </c>
      <c r="C195" s="18">
        <f>VLOOKUP(3454,季財報!A:H,3)</f>
        <v>0</v>
      </c>
      <c r="D195" s="18">
        <f>VLOOKUP(3454,季財報!A:H,4)</f>
        <v>1</v>
      </c>
      <c r="E195" s="18">
        <f>VLOOKUP(3454,季財報!A:H,5)</f>
        <v>0</v>
      </c>
      <c r="F195" s="18">
        <f>VLOOKUP(3454,季財報!A:H,6)</f>
        <v>1</v>
      </c>
      <c r="G195" s="18">
        <f>VLOOKUP(3454,季財報!A:H,7)</f>
        <v>0</v>
      </c>
      <c r="N195" s="20">
        <f t="shared" si="2"/>
        <v>2</v>
      </c>
    </row>
    <row r="196" spans="1:19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9">
      <c r="A197" s="307" t="str">
        <f>HYPERLINK("http://www.wantgoo.com/stock/chart.aspx?stockno=5490","5490")</f>
        <v>5490</v>
      </c>
      <c r="C197" s="18">
        <f>VLOOKUP(5490,季財報!A:H,3)</f>
        <v>0</v>
      </c>
      <c r="D197" s="18">
        <f>VLOOKUP(5490,季財報!A:H,4)</f>
        <v>1</v>
      </c>
      <c r="E197" s="18">
        <f>VLOOKUP(5490,季財報!A:H,5)</f>
        <v>0</v>
      </c>
      <c r="F197" s="18">
        <f>VLOOKUP(5490,季財報!A:H,6)</f>
        <v>1</v>
      </c>
      <c r="G197" s="18">
        <f>VLOOKUP(5490,季財報!A:H,7)</f>
        <v>1</v>
      </c>
      <c r="N197" s="20">
        <f t="shared" si="3"/>
        <v>3</v>
      </c>
    </row>
    <row r="198" spans="1:19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9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9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9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9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9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9" s="317" customFormat="1">
      <c r="A204" s="309" t="str">
        <f>HYPERLINK("http://www.wantgoo.com/stock/chart.aspx?stockno=8049","8049")</f>
        <v>8049</v>
      </c>
      <c r="B204" s="310"/>
      <c r="C204" s="311">
        <f>VLOOKUP(8049,季財報!A:H,3)</f>
        <v>1</v>
      </c>
      <c r="D204" s="311">
        <f>VLOOKUP(8049,季財報!A:H,4)</f>
        <v>1</v>
      </c>
      <c r="E204" s="311">
        <f>VLOOKUP(8049,季財報!A:H,5)</f>
        <v>2</v>
      </c>
      <c r="F204" s="311">
        <f>VLOOKUP(8049,季財報!A:H,6)</f>
        <v>1</v>
      </c>
      <c r="G204" s="311">
        <f>VLOOKUP(8049,季財報!A:H,7)</f>
        <v>0</v>
      </c>
      <c r="H204" s="312"/>
      <c r="I204" s="312"/>
      <c r="J204" s="312"/>
      <c r="K204" s="312"/>
      <c r="L204" s="312"/>
      <c r="M204" s="313"/>
      <c r="N204" s="312">
        <f t="shared" si="3"/>
        <v>5</v>
      </c>
      <c r="O204" s="314"/>
      <c r="P204" s="314"/>
      <c r="Q204" s="314"/>
      <c r="R204" s="314"/>
      <c r="S204" s="315"/>
    </row>
    <row r="205" spans="1:19" s="317" customFormat="1">
      <c r="A205" s="309" t="str">
        <f>HYPERLINK("http://www.wantgoo.com/stock/chart.aspx?stockno=1537","1537")</f>
        <v>1537</v>
      </c>
      <c r="B205" s="310"/>
      <c r="C205" s="311">
        <f>VLOOKUP(1537,季財報!A:H,3)</f>
        <v>1</v>
      </c>
      <c r="D205" s="311">
        <f>VLOOKUP(1537,季財報!A:H,4)</f>
        <v>1</v>
      </c>
      <c r="E205" s="311">
        <f>VLOOKUP(1537,季財報!A:H,5)</f>
        <v>0</v>
      </c>
      <c r="F205" s="311">
        <f>VLOOKUP(1537,季財報!A:H,6)</f>
        <v>1</v>
      </c>
      <c r="G205" s="311">
        <f>VLOOKUP(1537,季財報!A:H,7)</f>
        <v>1</v>
      </c>
      <c r="H205" s="312"/>
      <c r="I205" s="312"/>
      <c r="J205" s="312"/>
      <c r="K205" s="312"/>
      <c r="L205" s="312"/>
      <c r="M205" s="313"/>
      <c r="N205" s="312">
        <f t="shared" si="3"/>
        <v>4</v>
      </c>
      <c r="O205" s="314"/>
      <c r="P205" s="314"/>
      <c r="Q205" s="314"/>
      <c r="R205" s="314"/>
      <c r="S205" s="315"/>
    </row>
    <row r="206" spans="1:19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9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9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9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9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9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9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9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9" s="317" customFormat="1">
      <c r="A214" s="309" t="str">
        <f>HYPERLINK("http://www.wantgoo.com/stock/chart.aspx?stockno=3558","3558")</f>
        <v>3558</v>
      </c>
      <c r="B214" s="310"/>
      <c r="C214" s="311">
        <f>VLOOKUP(3558,季財報!A:H,3)</f>
        <v>1</v>
      </c>
      <c r="D214" s="311">
        <f>VLOOKUP(3558,季財報!A:H,4)</f>
        <v>1</v>
      </c>
      <c r="E214" s="311">
        <f>VLOOKUP(3558,季財報!A:H,5)</f>
        <v>2</v>
      </c>
      <c r="F214" s="311">
        <f>VLOOKUP(3558,季財報!A:H,6)</f>
        <v>1</v>
      </c>
      <c r="G214" s="311">
        <f>VLOOKUP(3558,季財報!A:H,7)</f>
        <v>1</v>
      </c>
      <c r="H214" s="312"/>
      <c r="I214" s="312"/>
      <c r="J214" s="312"/>
      <c r="K214" s="312"/>
      <c r="L214" s="312"/>
      <c r="M214" s="313"/>
      <c r="N214" s="312">
        <f t="shared" si="3"/>
        <v>6</v>
      </c>
      <c r="O214" s="314"/>
      <c r="P214" s="314"/>
      <c r="Q214" s="314"/>
      <c r="R214" s="314"/>
      <c r="S214" s="315"/>
    </row>
    <row r="215" spans="1:19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9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9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9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9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9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9">
      <c r="A221" s="308" t="str">
        <f>HYPERLINK("http://www.wantgoo.com/stock/chart.aspx?stockno=1726","1726")</f>
        <v>1726</v>
      </c>
      <c r="C221" s="18">
        <f>VLOOKUP(1726,季財報!A:H,3)</f>
        <v>1</v>
      </c>
      <c r="D221" s="18">
        <f>VLOOKUP(1726,季財報!A:H,4)</f>
        <v>1</v>
      </c>
      <c r="E221" s="18">
        <f>VLOOKUP(1726,季財報!A:H,5)</f>
        <v>0</v>
      </c>
      <c r="F221" s="18">
        <f>VLOOKUP(1726,季財報!A:H,6)</f>
        <v>1</v>
      </c>
      <c r="G221" s="18">
        <f>VLOOKUP(1726,季財報!A:H,7)</f>
        <v>0</v>
      </c>
      <c r="N221" s="20">
        <f t="shared" si="3"/>
        <v>3</v>
      </c>
    </row>
    <row r="222" spans="1:19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9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9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4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4">
      <c r="A226" s="307" t="str">
        <f>HYPERLINK("http://www.wantgoo.com/stock/chart.aspx?stockno=3088","3088")</f>
        <v>3088</v>
      </c>
      <c r="C226" s="18">
        <f>VLOOKUP(3088,季財報!A:H,3)</f>
        <v>1</v>
      </c>
      <c r="D226" s="18">
        <f>VLOOKUP(3088,季財報!A:H,4)</f>
        <v>1</v>
      </c>
      <c r="E226" s="18">
        <f>VLOOKUP(3088,季財報!A:H,5)</f>
        <v>1</v>
      </c>
      <c r="F226" s="18">
        <f>VLOOKUP(3088,季財報!A:H,6)</f>
        <v>1</v>
      </c>
      <c r="G226" s="18">
        <f>VLOOKUP(3088,季財報!A:H,7)</f>
        <v>0</v>
      </c>
      <c r="N226" s="20">
        <f t="shared" si="3"/>
        <v>4</v>
      </c>
    </row>
    <row r="227" spans="1:14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4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4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4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4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4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4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4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4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4">
      <c r="A236" s="308" t="str">
        <f>HYPERLINK("http://www.wantgoo.com/stock/chart.aspx?stockno=8255","8255")</f>
        <v>8255</v>
      </c>
      <c r="C236" s="18">
        <f>VLOOKUP(8255,季財報!A:H,3)</f>
        <v>1</v>
      </c>
      <c r="D236" s="18">
        <f>VLOOKUP(8255,季財報!A:H,4)</f>
        <v>1</v>
      </c>
      <c r="E236" s="18">
        <f>VLOOKUP(8255,季財報!A:H,5)</f>
        <v>0</v>
      </c>
      <c r="F236" s="18">
        <f>VLOOKUP(8255,季財報!A:H,6)</f>
        <v>1</v>
      </c>
      <c r="G236" s="18">
        <f>VLOOKUP(8255,季財報!A:H,7)</f>
        <v>0</v>
      </c>
      <c r="N236" s="20">
        <f t="shared" si="3"/>
        <v>3</v>
      </c>
    </row>
    <row r="237" spans="1:14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4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4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4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4">
      <c r="A273" s="307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 t="shared" si="4"/>
        <v>4</v>
      </c>
    </row>
    <row r="274" spans="1:14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4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4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4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4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4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4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4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4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4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4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4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4">
      <c r="A286" s="308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 t="shared" si="4"/>
        <v>2</v>
      </c>
    </row>
    <row r="287" spans="1:14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4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9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9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9" s="317" customFormat="1">
      <c r="A291" s="309" t="str">
        <f>HYPERLINK("http://www.wantgoo.com/stock/chart.aspx?stockno=4935","4935")</f>
        <v>4935</v>
      </c>
      <c r="B291" s="310"/>
      <c r="C291" s="311">
        <f>VLOOKUP(4935,季財報!A:H,3)</f>
        <v>1</v>
      </c>
      <c r="D291" s="311">
        <f>VLOOKUP(4935,季財報!A:H,4)</f>
        <v>1</v>
      </c>
      <c r="E291" s="311">
        <f>VLOOKUP(4935,季財報!A:H,5)</f>
        <v>2</v>
      </c>
      <c r="F291" s="311">
        <f>VLOOKUP(4935,季財報!A:H,6)</f>
        <v>1</v>
      </c>
      <c r="G291" s="311">
        <f>VLOOKUP(4935,季財報!A:H,7)</f>
        <v>1</v>
      </c>
      <c r="H291" s="312"/>
      <c r="I291" s="312"/>
      <c r="J291" s="312"/>
      <c r="K291" s="312"/>
      <c r="L291" s="312"/>
      <c r="M291" s="313"/>
      <c r="N291" s="312">
        <f t="shared" si="4"/>
        <v>6</v>
      </c>
      <c r="O291" s="314"/>
      <c r="P291" s="314"/>
      <c r="Q291" s="314"/>
      <c r="R291" s="314"/>
      <c r="S291" s="315"/>
    </row>
    <row r="292" spans="1:19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9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9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9" s="317" customFormat="1">
      <c r="A295" s="309" t="str">
        <f>HYPERLINK("http://www.wantgoo.com/stock/chart.aspx?stockno=3234","3234")</f>
        <v>3234</v>
      </c>
      <c r="B295" s="310"/>
      <c r="C295" s="311">
        <f>VLOOKUP(3234,季財報!A:H,3)</f>
        <v>1</v>
      </c>
      <c r="D295" s="311">
        <f>VLOOKUP(3234,季財報!A:H,4)</f>
        <v>1</v>
      </c>
      <c r="E295" s="311">
        <f>VLOOKUP(3234,季財報!A:H,5)</f>
        <v>2</v>
      </c>
      <c r="F295" s="311">
        <f>VLOOKUP(3234,季財報!A:H,6)</f>
        <v>1</v>
      </c>
      <c r="G295" s="311">
        <f>VLOOKUP(3234,季財報!A:H,7)</f>
        <v>1</v>
      </c>
      <c r="H295" s="312"/>
      <c r="I295" s="312"/>
      <c r="J295" s="312"/>
      <c r="K295" s="312"/>
      <c r="L295" s="312"/>
      <c r="M295" s="313"/>
      <c r="N295" s="312">
        <f t="shared" si="4"/>
        <v>6</v>
      </c>
      <c r="O295" s="314"/>
      <c r="P295" s="314"/>
      <c r="Q295" s="314"/>
      <c r="R295" s="314"/>
      <c r="S295" s="315"/>
    </row>
    <row r="296" spans="1:19" s="317" customFormat="1">
      <c r="A296" s="309" t="str">
        <f>HYPERLINK("http://www.wantgoo.com/stock/chart.aspx?stockno=8422","8422")</f>
        <v>8422</v>
      </c>
      <c r="B296" s="310"/>
      <c r="C296" s="311">
        <f>VLOOKUP(8422,季財報!A:H,3)</f>
        <v>1</v>
      </c>
      <c r="D296" s="311">
        <f>VLOOKUP(8422,季財報!A:H,4)</f>
        <v>1</v>
      </c>
      <c r="E296" s="311">
        <f>VLOOKUP(8422,季財報!A:H,5)</f>
        <v>2</v>
      </c>
      <c r="F296" s="311">
        <f>VLOOKUP(8422,季財報!A:H,6)</f>
        <v>1</v>
      </c>
      <c r="G296" s="311">
        <f>VLOOKUP(8422,季財報!A:H,7)</f>
        <v>0</v>
      </c>
      <c r="H296" s="312"/>
      <c r="I296" s="312"/>
      <c r="J296" s="312"/>
      <c r="K296" s="312"/>
      <c r="L296" s="312"/>
      <c r="M296" s="313"/>
      <c r="N296" s="312">
        <f t="shared" si="4"/>
        <v>5</v>
      </c>
      <c r="O296" s="314"/>
      <c r="P296" s="314"/>
      <c r="Q296" s="314"/>
      <c r="R296" s="314"/>
      <c r="S296" s="315"/>
    </row>
    <row r="297" spans="1:19">
      <c r="A297" s="307" t="str">
        <f>HYPERLINK("http://www.wantgoo.com/stock/chart.aspx?stockno=4126","4126")</f>
        <v>4126</v>
      </c>
      <c r="C297" s="18">
        <f>VLOOKUP(4126,季財報!A:H,3)</f>
        <v>1</v>
      </c>
      <c r="D297" s="18">
        <f>VLOOKUP(4126,季財報!A:H,4)</f>
        <v>1</v>
      </c>
      <c r="E297" s="18">
        <f>VLOOKUP(4126,季財報!A:H,5)</f>
        <v>1</v>
      </c>
      <c r="F297" s="18">
        <f>VLOOKUP(4126,季財報!A:H,6)</f>
        <v>1</v>
      </c>
      <c r="G297" s="18">
        <f>VLOOKUP(4126,季財報!A:H,7)</f>
        <v>0</v>
      </c>
      <c r="N297" s="20">
        <f t="shared" si="4"/>
        <v>4</v>
      </c>
    </row>
    <row r="298" spans="1:19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9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9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9" s="317" customFormat="1">
      <c r="A301" s="309" t="str">
        <f>HYPERLINK("http://www.wantgoo.com/stock/chart.aspx?stockno=2397","2397")</f>
        <v>2397</v>
      </c>
      <c r="B301" s="310"/>
      <c r="C301" s="311">
        <f>VLOOKUP(2397,季財報!A:H,3)</f>
        <v>1</v>
      </c>
      <c r="D301" s="311">
        <f>VLOOKUP(2397,季財報!A:H,4)</f>
        <v>1</v>
      </c>
      <c r="E301" s="311">
        <f>VLOOKUP(2397,季財報!A:H,5)</f>
        <v>0</v>
      </c>
      <c r="F301" s="311">
        <f>VLOOKUP(2397,季財報!A:H,6)</f>
        <v>1</v>
      </c>
      <c r="G301" s="311">
        <f>VLOOKUP(2397,季財報!A:H,7)</f>
        <v>0</v>
      </c>
      <c r="H301" s="312"/>
      <c r="I301" s="312"/>
      <c r="J301" s="312"/>
      <c r="K301" s="312"/>
      <c r="L301" s="312"/>
      <c r="M301" s="313"/>
      <c r="N301" s="312">
        <f t="shared" si="4"/>
        <v>3</v>
      </c>
      <c r="O301" s="314"/>
      <c r="P301" s="314"/>
      <c r="Q301" s="314"/>
      <c r="R301" s="314"/>
      <c r="S301" s="315"/>
    </row>
    <row r="302" spans="1:19">
      <c r="A302" s="307" t="str">
        <f>HYPERLINK("http://www.wantgoo.com/stock/chart.aspx?stockno=9914","9914")</f>
        <v>9914</v>
      </c>
      <c r="C302" s="18">
        <f>VLOOKUP(9914,季財報!A:H,3)</f>
        <v>1</v>
      </c>
      <c r="D302" s="18">
        <f>VLOOKUP(9914,季財報!A:H,4)</f>
        <v>1</v>
      </c>
      <c r="E302" s="18">
        <f>VLOOKUP(9914,季財報!A:H,5)</f>
        <v>1</v>
      </c>
      <c r="F302" s="18">
        <f>VLOOKUP(9914,季財報!A:H,6)</f>
        <v>1</v>
      </c>
      <c r="G302" s="18">
        <f>VLOOKUP(9914,季財報!A:H,7)</f>
        <v>0</v>
      </c>
      <c r="N302" s="20">
        <f t="shared" si="4"/>
        <v>4</v>
      </c>
    </row>
    <row r="303" spans="1:19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9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4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4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4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4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4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4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4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4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4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4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4">
      <c r="A331" s="308" t="str">
        <f>HYPERLINK("http://www.wantgoo.com/stock/chart.aspx?stockno=2377","2377")</f>
        <v>2377</v>
      </c>
      <c r="C331" s="18">
        <f>VLOOKUP(2377,季財報!A:H,3)</f>
        <v>1</v>
      </c>
      <c r="D331" s="18">
        <f>VLOOKUP(2377,季財報!A:H,4)</f>
        <v>1</v>
      </c>
      <c r="E331" s="18">
        <f>VLOOKUP(2377,季財報!A:H,5)</f>
        <v>2</v>
      </c>
      <c r="F331" s="18">
        <f>VLOOKUP(2377,季財報!A:H,6)</f>
        <v>1</v>
      </c>
      <c r="G331" s="18">
        <f>VLOOKUP(2377,季財報!A:H,7)</f>
        <v>0</v>
      </c>
      <c r="N331" s="20">
        <f t="shared" si="5"/>
        <v>5</v>
      </c>
    </row>
    <row r="332" spans="1:14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4">
      <c r="A333" s="307" t="str">
        <f>HYPERLINK("http://www.wantgoo.com/stock/chart.aspx?stockno=4912","4912")</f>
        <v>4912</v>
      </c>
      <c r="C333" s="18">
        <f>VLOOKUP(4912,季財報!A:H,3)</f>
        <v>0</v>
      </c>
      <c r="D333" s="18">
        <f>VLOOKUP(4912,季財報!A:H,4)</f>
        <v>1</v>
      </c>
      <c r="E333" s="18">
        <f>VLOOKUP(4912,季財報!A:H,5)</f>
        <v>0</v>
      </c>
      <c r="F333" s="18">
        <f>VLOOKUP(4912,季財報!A:H,6)</f>
        <v>1</v>
      </c>
      <c r="G333" s="18">
        <f>VLOOKUP(4912,季財報!A:H,7)</f>
        <v>0</v>
      </c>
      <c r="N333" s="20">
        <f t="shared" si="5"/>
        <v>2</v>
      </c>
    </row>
    <row r="334" spans="1:14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4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4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4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4">
      <c r="A354" s="307" t="str">
        <f>HYPERLINK("http://www.wantgoo.com/stock/chart.aspx?stockno=4103","4103")</f>
        <v>4103</v>
      </c>
      <c r="C354" s="18">
        <f>VLOOKUP(4103,季財報!A:H,3)</f>
        <v>1</v>
      </c>
      <c r="D354" s="18">
        <f>VLOOKUP(4103,季財報!A:H,4)</f>
        <v>1</v>
      </c>
      <c r="E354" s="18">
        <f>VLOOKUP(4103,季財報!A:H,5)</f>
        <v>1</v>
      </c>
      <c r="F354" s="18">
        <f>VLOOKUP(4103,季財報!A:H,6)</f>
        <v>0</v>
      </c>
      <c r="G354" s="18">
        <f>VLOOKUP(4103,季財報!A:H,7)</f>
        <v>0</v>
      </c>
      <c r="N354" s="20">
        <f t="shared" si="5"/>
        <v>3</v>
      </c>
    </row>
    <row r="355" spans="1:14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4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4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4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4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4">
      <c r="A360" s="307" t="str">
        <f>HYPERLINK("http://www.wantgoo.com/stock/chart.aspx?stockno=8114","8114")</f>
        <v>8114</v>
      </c>
      <c r="C360" s="18">
        <f>VLOOKUP(8114,季財報!A:H,3)</f>
        <v>1</v>
      </c>
      <c r="D360" s="18">
        <f>VLOOKUP(8114,季財報!A:H,4)</f>
        <v>1</v>
      </c>
      <c r="E360" s="18">
        <f>VLOOKUP(8114,季財報!A:H,5)</f>
        <v>1</v>
      </c>
      <c r="F360" s="18">
        <f>VLOOKUP(8114,季財報!A:H,6)</f>
        <v>1</v>
      </c>
      <c r="G360" s="18">
        <f>VLOOKUP(8114,季財報!A:H,7)</f>
        <v>0</v>
      </c>
      <c r="N360" s="20">
        <f t="shared" si="5"/>
        <v>4</v>
      </c>
    </row>
    <row r="361" spans="1:14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4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4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4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4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4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4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4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4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4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4">
      <c r="A371" s="307" t="str">
        <f>HYPERLINK("http://www.wantgoo.com/stock/chart.aspx?stockno=2059","2059")</f>
        <v>2059</v>
      </c>
      <c r="C371" s="18">
        <f>VLOOKUP(2059,季財報!A:H,3)</f>
        <v>1</v>
      </c>
      <c r="D371" s="18">
        <f>VLOOKUP(2059,季財報!A:H,4)</f>
        <v>1</v>
      </c>
      <c r="E371" s="18">
        <f>VLOOKUP(2059,季財報!A:H,5)</f>
        <v>1</v>
      </c>
      <c r="F371" s="18">
        <f>VLOOKUP(2059,季財報!A:H,6)</f>
        <v>1</v>
      </c>
      <c r="G371" s="18">
        <f>VLOOKUP(2059,季財報!A:H,7)</f>
        <v>0</v>
      </c>
      <c r="N371" s="20">
        <f t="shared" si="5"/>
        <v>4</v>
      </c>
    </row>
    <row r="372" spans="1:14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4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4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4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4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4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4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4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4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4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4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4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4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4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4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4">
      <c r="A387" s="308" t="str">
        <f>HYPERLINK("http://www.wantgoo.com/stock/chart.aspx?stockno=9904","9904")</f>
        <v>9904</v>
      </c>
      <c r="C387" s="18">
        <f>VLOOKUP(9904,季財報!A:H,3)</f>
        <v>0</v>
      </c>
      <c r="D387" s="18">
        <f>VLOOKUP(9904,季財報!A:H,4)</f>
        <v>1</v>
      </c>
      <c r="E387" s="18">
        <f>VLOOKUP(9904,季財報!A:H,5)</f>
        <v>0</v>
      </c>
      <c r="F387" s="18">
        <f>VLOOKUP(9904,季財報!A:H,6)</f>
        <v>1</v>
      </c>
      <c r="G387" s="18">
        <f>VLOOKUP(9904,季財報!A:H,7)</f>
        <v>1</v>
      </c>
      <c r="N387" s="20">
        <f t="shared" si="5"/>
        <v>3</v>
      </c>
    </row>
    <row r="388" spans="1:14">
      <c r="A388" s="307" t="str">
        <f>HYPERLINK("http://www.wantgoo.com/stock/chart.aspx?stockno=2455","2455")</f>
        <v>2455</v>
      </c>
      <c r="C388" s="18">
        <f>VLOOKUP(2455,季財報!A:H,3)</f>
        <v>0</v>
      </c>
      <c r="D388" s="18">
        <f>VLOOKUP(2455,季財報!A:H,4)</f>
        <v>1</v>
      </c>
      <c r="E388" s="18">
        <f>VLOOKUP(2455,季財報!A:H,5)</f>
        <v>0</v>
      </c>
      <c r="F388" s="18">
        <f>VLOOKUP(2455,季財報!A:H,6)</f>
        <v>1</v>
      </c>
      <c r="G388" s="18">
        <f>VLOOKUP(2455,季財報!A:H,7)</f>
        <v>0</v>
      </c>
      <c r="N388" s="20">
        <f t="shared" ref="N388:N451" si="6">SUM(C388:M388)</f>
        <v>2</v>
      </c>
    </row>
    <row r="389" spans="1:14">
      <c r="A389" s="308" t="str">
        <f>HYPERLINK("http://www.wantgoo.com/stock/chart.aspx?stockno=3023","3023")</f>
        <v>3023</v>
      </c>
      <c r="C389" s="18">
        <f>VLOOKUP(3023,季財報!A:H,3)</f>
        <v>1</v>
      </c>
      <c r="D389" s="18">
        <f>VLOOKUP(3023,季財報!A:H,4)</f>
        <v>1</v>
      </c>
      <c r="E389" s="18">
        <f>VLOOKUP(3023,季財報!A:H,5)</f>
        <v>0</v>
      </c>
      <c r="F389" s="18">
        <f>VLOOKUP(3023,季財報!A:H,6)</f>
        <v>1</v>
      </c>
      <c r="G389" s="18">
        <f>VLOOKUP(3023,季財報!A:H,7)</f>
        <v>0</v>
      </c>
      <c r="N389" s="20">
        <f t="shared" si="6"/>
        <v>3</v>
      </c>
    </row>
    <row r="390" spans="1:14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4">
      <c r="A391" s="308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 t="shared" si="6"/>
        <v>3</v>
      </c>
    </row>
    <row r="392" spans="1:14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4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4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4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4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4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4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4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4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4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4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4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4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4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4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4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4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4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4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4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4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4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4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4">
      <c r="A415" s="307" t="str">
        <f>HYPERLINK("http://www.wantgoo.com/stock/chart.aspx?stockno=4426","4426")</f>
        <v>4426</v>
      </c>
      <c r="C415" s="18">
        <f>VLOOKUP(4426,季財報!A:H,3)</f>
        <v>1</v>
      </c>
      <c r="D415" s="18">
        <f>VLOOKUP(4426,季財報!A:H,4)</f>
        <v>1</v>
      </c>
      <c r="E415" s="18">
        <f>VLOOKUP(4426,季財報!A:H,5)</f>
        <v>0</v>
      </c>
      <c r="F415" s="18">
        <f>VLOOKUP(4426,季財報!A:H,6)</f>
        <v>1</v>
      </c>
      <c r="G415" s="18">
        <f>VLOOKUP(4426,季財報!A:H,7)</f>
        <v>1</v>
      </c>
      <c r="N415" s="20">
        <f t="shared" si="6"/>
        <v>4</v>
      </c>
    </row>
    <row r="416" spans="1:14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4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4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4">
      <c r="A419" s="308" t="str">
        <f>HYPERLINK("http://www.wantgoo.com/stock/chart.aspx?stockno=2228","2228")</f>
        <v>2228</v>
      </c>
      <c r="C419" s="18">
        <f>VLOOKUP(2228,季財報!A:H,3)</f>
        <v>1</v>
      </c>
      <c r="D419" s="18">
        <f>VLOOKUP(2228,季財報!A:H,4)</f>
        <v>1</v>
      </c>
      <c r="E419" s="18">
        <f>VLOOKUP(2228,季財報!A:H,5)</f>
        <v>1</v>
      </c>
      <c r="F419" s="18">
        <f>VLOOKUP(2228,季財報!A:H,6)</f>
        <v>1</v>
      </c>
      <c r="G419" s="18">
        <f>VLOOKUP(2228,季財報!A:H,7)</f>
        <v>0</v>
      </c>
      <c r="N419" s="20">
        <f t="shared" si="6"/>
        <v>4</v>
      </c>
    </row>
    <row r="420" spans="1:14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4">
      <c r="A421" s="307" t="str">
        <f>HYPERLINK("http://www.wantgoo.com/stock/chart.aspx?stockno=8433","8433")</f>
        <v>8433</v>
      </c>
      <c r="C421" s="18">
        <f>VLOOKUP(8433,季財報!A:H,3)</f>
        <v>1</v>
      </c>
      <c r="D421" s="18">
        <f>VLOOKUP(8433,季財報!A:H,4)</f>
        <v>1</v>
      </c>
      <c r="E421" s="18">
        <f>VLOOKUP(8433,季財報!A:H,5)</f>
        <v>0</v>
      </c>
      <c r="F421" s="18">
        <f>VLOOKUP(8433,季財報!A:H,6)</f>
        <v>1</v>
      </c>
      <c r="G421" s="18">
        <f>VLOOKUP(8433,季財報!A:H,7)</f>
        <v>1</v>
      </c>
      <c r="N421" s="20">
        <f t="shared" si="6"/>
        <v>4</v>
      </c>
    </row>
    <row r="422" spans="1:14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4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4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4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4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4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4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4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4">
      <c r="A430" s="308" t="str">
        <f>HYPERLINK("http://www.wantgoo.com/stock/chart.aspx?stockno=1565","1565")</f>
        <v>1565</v>
      </c>
      <c r="C430" s="18">
        <f>VLOOKUP(1565,季財報!A:H,3)</f>
        <v>1</v>
      </c>
      <c r="D430" s="18">
        <f>VLOOKUP(1565,季財報!A:H,4)</f>
        <v>1</v>
      </c>
      <c r="E430" s="18">
        <f>VLOOKUP(1565,季財報!A:H,5)</f>
        <v>2</v>
      </c>
      <c r="F430" s="18">
        <f>VLOOKUP(1565,季財報!A:H,6)</f>
        <v>1</v>
      </c>
      <c r="G430" s="18">
        <f>VLOOKUP(1565,季財報!A:H,7)</f>
        <v>0</v>
      </c>
      <c r="N430" s="20">
        <f t="shared" si="6"/>
        <v>5</v>
      </c>
    </row>
    <row r="431" spans="1:14">
      <c r="A431" s="307" t="str">
        <f>HYPERLINK("http://www.wantgoo.com/stock/chart.aspx?stockno=1477","1477")</f>
        <v>1477</v>
      </c>
      <c r="C431" s="18">
        <f>VLOOKUP(1477,季財報!A:H,3)</f>
        <v>0</v>
      </c>
      <c r="D431" s="18">
        <f>VLOOKUP(1477,季財報!A:H,4)</f>
        <v>1</v>
      </c>
      <c r="E431" s="18">
        <f>VLOOKUP(1477,季財報!A:H,5)</f>
        <v>2</v>
      </c>
      <c r="F431" s="18">
        <f>VLOOKUP(1477,季財報!A:H,6)</f>
        <v>1</v>
      </c>
      <c r="G431" s="18">
        <f>VLOOKUP(1477,季財報!A:H,7)</f>
        <v>0</v>
      </c>
      <c r="N431" s="20">
        <f t="shared" si="6"/>
        <v>4</v>
      </c>
    </row>
    <row r="432" spans="1:14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4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4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4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4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4">
      <c r="A437" s="307" t="str">
        <f>HYPERLINK("http://www.wantgoo.com/stock/chart.aspx?stockno=3152","3152")</f>
        <v>3152</v>
      </c>
      <c r="C437" s="18">
        <f>VLOOKUP(3152,季財報!A:H,3)</f>
        <v>1</v>
      </c>
      <c r="D437" s="18">
        <f>VLOOKUP(3152,季財報!A:H,4)</f>
        <v>1</v>
      </c>
      <c r="E437" s="18">
        <f>VLOOKUP(3152,季財報!A:H,5)</f>
        <v>1</v>
      </c>
      <c r="F437" s="18">
        <f>VLOOKUP(3152,季財報!A:H,6)</f>
        <v>1</v>
      </c>
      <c r="G437" s="18">
        <f>VLOOKUP(3152,季財報!A:H,7)</f>
        <v>1</v>
      </c>
      <c r="N437" s="20">
        <f t="shared" si="6"/>
        <v>5</v>
      </c>
    </row>
    <row r="438" spans="1:14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4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4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4">
      <c r="A441" s="308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 t="shared" si="6"/>
        <v>4</v>
      </c>
    </row>
    <row r="442" spans="1:14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4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4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4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4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4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4">
      <c r="A448" s="308" t="str">
        <f>HYPERLINK("http://www.wantgoo.com/stock/chart.aspx?stockno=3479","3479")</f>
        <v>3479</v>
      </c>
      <c r="C448" s="18">
        <f>VLOOKUP(3479,季財報!A:H,3)</f>
        <v>1</v>
      </c>
      <c r="D448" s="18">
        <f>VLOOKUP(3479,季財報!A:H,4)</f>
        <v>1</v>
      </c>
      <c r="E448" s="18">
        <f>VLOOKUP(3479,季財報!A:H,5)</f>
        <v>2</v>
      </c>
      <c r="F448" s="18">
        <f>VLOOKUP(3479,季財報!A:H,6)</f>
        <v>1</v>
      </c>
      <c r="G448" s="18">
        <f>VLOOKUP(3479,季財報!A:H,7)</f>
        <v>1</v>
      </c>
      <c r="N448" s="20">
        <f t="shared" si="6"/>
        <v>6</v>
      </c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>
      <c r="A451" s="307" t="str">
        <f>HYPERLINK("http://www.wantgoo.com/stock/chart.aspx?stockno=1707","1707")</f>
        <v>1707</v>
      </c>
      <c r="C451" s="18">
        <f>VLOOKUP(1707,季財報!A:H,3)</f>
        <v>0</v>
      </c>
      <c r="D451" s="18">
        <f>VLOOKUP(1707,季財報!A:H,4)</f>
        <v>1</v>
      </c>
      <c r="E451" s="18">
        <f>VLOOKUP(1707,季財報!A:H,5)</f>
        <v>0</v>
      </c>
      <c r="F451" s="18">
        <f>VLOOKUP(1707,季財報!A:H,6)</f>
        <v>0</v>
      </c>
      <c r="G451" s="18">
        <f>VLOOKUP(1707,季財報!A:H,7)</f>
        <v>1</v>
      </c>
      <c r="N451" s="20">
        <f t="shared" si="6"/>
        <v>2</v>
      </c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 s="317" customFormat="1">
      <c r="A454" s="309" t="str">
        <f>HYPERLINK("http://www.wantgoo.com/stock/chart.aspx?stockno=3665","3665")</f>
        <v>3665</v>
      </c>
      <c r="B454" s="310"/>
      <c r="C454" s="311">
        <f>VLOOKUP(3665,季財報!A:H,3)</f>
        <v>1</v>
      </c>
      <c r="D454" s="311">
        <f>VLOOKUP(3665,季財報!A:H,4)</f>
        <v>1</v>
      </c>
      <c r="E454" s="311">
        <f>VLOOKUP(3665,季財報!A:H,5)</f>
        <v>0</v>
      </c>
      <c r="F454" s="311">
        <f>VLOOKUP(3665,季財報!A:H,6)</f>
        <v>1</v>
      </c>
      <c r="G454" s="311">
        <f>VLOOKUP(3665,季財報!A:H,7)</f>
        <v>0</v>
      </c>
      <c r="H454" s="312"/>
      <c r="I454" s="312"/>
      <c r="J454" s="312"/>
      <c r="K454" s="312"/>
      <c r="L454" s="312"/>
      <c r="M454" s="313"/>
      <c r="N454" s="312">
        <f t="shared" si="7"/>
        <v>3</v>
      </c>
      <c r="O454" s="314"/>
      <c r="P454" s="314"/>
      <c r="Q454" s="314"/>
      <c r="R454" s="314"/>
      <c r="S454" s="315"/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9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9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9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9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9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9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9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9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9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9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9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9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9">
      <c r="A477" s="308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 t="shared" si="7"/>
        <v>1</v>
      </c>
    </row>
    <row r="478" spans="1:19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9" s="317" customFormat="1">
      <c r="A479" s="309" t="str">
        <f>HYPERLINK("http://www.wantgoo.com/stock/chart.aspx?stockno=1788","1788")</f>
        <v>1788</v>
      </c>
      <c r="B479" s="310"/>
      <c r="C479" s="311">
        <f>VLOOKUP(1788,季財報!A:H,3)</f>
        <v>0</v>
      </c>
      <c r="D479" s="311">
        <f>VLOOKUP(1788,季財報!A:H,4)</f>
        <v>0</v>
      </c>
      <c r="E479" s="311">
        <f>VLOOKUP(1788,季財報!A:H,5)</f>
        <v>0</v>
      </c>
      <c r="F479" s="311">
        <f>VLOOKUP(1788,季財報!A:H,6)</f>
        <v>1</v>
      </c>
      <c r="G479" s="311">
        <f>VLOOKUP(1788,季財報!A:H,7)</f>
        <v>0</v>
      </c>
      <c r="H479" s="312"/>
      <c r="I479" s="312"/>
      <c r="J479" s="312"/>
      <c r="K479" s="312"/>
      <c r="L479" s="312"/>
      <c r="M479" s="313"/>
      <c r="N479" s="312">
        <f t="shared" si="7"/>
        <v>1</v>
      </c>
      <c r="O479" s="314"/>
      <c r="P479" s="314"/>
      <c r="Q479" s="314"/>
      <c r="R479" s="314"/>
      <c r="S479" s="315"/>
    </row>
    <row r="480" spans="1:19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4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4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4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4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4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4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4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4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4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4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4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4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4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4">
      <c r="A494" s="307" t="str">
        <f>HYPERLINK("http://www.wantgoo.com/stock/chart.aspx?stockno=1227","1227")</f>
        <v>1227</v>
      </c>
      <c r="C494" s="18">
        <f>VLOOKUP(1227,季財報!A:H,3)</f>
        <v>0</v>
      </c>
      <c r="D494" s="18">
        <f>VLOOKUP(1227,季財報!A:H,4)</f>
        <v>1</v>
      </c>
      <c r="E494" s="18">
        <f>VLOOKUP(1227,季財報!A:H,5)</f>
        <v>2</v>
      </c>
      <c r="F494" s="18">
        <f>VLOOKUP(1227,季財報!A:H,6)</f>
        <v>1</v>
      </c>
      <c r="G494" s="18">
        <f>VLOOKUP(1227,季財報!A:H,7)</f>
        <v>0</v>
      </c>
      <c r="N494" s="20">
        <f t="shared" si="7"/>
        <v>4</v>
      </c>
    </row>
    <row r="495" spans="1:14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4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4">
      <c r="A497" s="308" t="str">
        <f>HYPERLINK("http://www.wantgoo.com/stock/chart.aspx?stockno=6238","6238")</f>
        <v>6238</v>
      </c>
      <c r="C497" s="18">
        <f>VLOOKUP(6238,季財報!A:H,3)</f>
        <v>1</v>
      </c>
      <c r="D497" s="18">
        <f>VLOOKUP(6238,季財報!A:H,4)</f>
        <v>1</v>
      </c>
      <c r="E497" s="18">
        <f>VLOOKUP(6238,季財報!A:H,5)</f>
        <v>1</v>
      </c>
      <c r="F497" s="18">
        <f>VLOOKUP(6238,季財報!A:H,6)</f>
        <v>1</v>
      </c>
      <c r="G497" s="18">
        <f>VLOOKUP(6238,季財報!A:H,7)</f>
        <v>0</v>
      </c>
      <c r="N497" s="20">
        <f t="shared" si="7"/>
        <v>4</v>
      </c>
    </row>
    <row r="498" spans="1:14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4">
      <c r="A499" s="308" t="str">
        <f>HYPERLINK("http://www.wantgoo.com/stock/chart.aspx?stockno=1476","1476")</f>
        <v>1476</v>
      </c>
      <c r="C499" s="18">
        <f>VLOOKUP(1476,季財報!A:H,3)</f>
        <v>1</v>
      </c>
      <c r="D499" s="18">
        <f>VLOOKUP(1476,季財報!A:H,4)</f>
        <v>1</v>
      </c>
      <c r="E499" s="18">
        <f>VLOOKUP(1476,季財報!A:H,5)</f>
        <v>0</v>
      </c>
      <c r="F499" s="18">
        <f>VLOOKUP(1476,季財報!A:H,6)</f>
        <v>1</v>
      </c>
      <c r="G499" s="18">
        <f>VLOOKUP(1476,季財報!A:H,7)</f>
        <v>0</v>
      </c>
      <c r="N499" s="20">
        <f t="shared" si="7"/>
        <v>3</v>
      </c>
    </row>
    <row r="500" spans="1:14">
      <c r="A500" s="307" t="str">
        <f>HYPERLINK("http://www.wantgoo.com/stock/chart.aspx?stockno=3045","3045")</f>
        <v>3045</v>
      </c>
      <c r="C500" s="18">
        <f>VLOOKUP(3045,季財報!A:H,3)</f>
        <v>1</v>
      </c>
      <c r="D500" s="18">
        <f>VLOOKUP(3045,季財報!A:H,4)</f>
        <v>1</v>
      </c>
      <c r="E500" s="18">
        <f>VLOOKUP(3045,季財報!A:H,5)</f>
        <v>1</v>
      </c>
      <c r="F500" s="18">
        <f>VLOOKUP(3045,季財報!A:H,6)</f>
        <v>1</v>
      </c>
      <c r="G500" s="18">
        <f>VLOOKUP(3045,季財報!A:H,7)</f>
        <v>0</v>
      </c>
      <c r="N500" s="20">
        <f t="shared" si="7"/>
        <v>4</v>
      </c>
    </row>
    <row r="501" spans="1:14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4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4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4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4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4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4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4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4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4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4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4">
      <c r="A512" s="308" t="str">
        <f>HYPERLINK("http://www.wantgoo.com/stock/chart.aspx?stockno=2729","2729")</f>
        <v>2729</v>
      </c>
      <c r="C512" s="18">
        <f>VLOOKUP(2729,季財報!A:H,3)</f>
        <v>0</v>
      </c>
      <c r="D512" s="18">
        <f>VLOOKUP(2729,季財報!A:H,4)</f>
        <v>0</v>
      </c>
      <c r="E512" s="18">
        <f>VLOOKUP(2729,季財報!A:H,5)</f>
        <v>1</v>
      </c>
      <c r="F512" s="18">
        <f>VLOOKUP(2729,季財報!A:H,6)</f>
        <v>1</v>
      </c>
      <c r="G512" s="18">
        <f>VLOOKUP(2729,季財報!A:H,7)</f>
        <v>0</v>
      </c>
      <c r="N512" s="20">
        <f t="shared" si="7"/>
        <v>2</v>
      </c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4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4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4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4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4">
      <c r="A549" s="307" t="str">
        <f>HYPERLINK("http://www.wantgoo.com/stock/chart.aspx?stockno=2395","2395")</f>
        <v>2395</v>
      </c>
      <c r="C549" s="18">
        <f>VLOOKUP(2395,季財報!A:H,3)</f>
        <v>0</v>
      </c>
      <c r="D549" s="18">
        <f>VLOOKUP(2395,季財報!A:H,4)</f>
        <v>0</v>
      </c>
      <c r="E549" s="18">
        <f>VLOOKUP(2395,季財報!A:H,5)</f>
        <v>0</v>
      </c>
      <c r="F549" s="18">
        <f>VLOOKUP(2395,季財報!A:H,6)</f>
        <v>1</v>
      </c>
      <c r="G549" s="18">
        <f>VLOOKUP(2395,季財報!A:H,7)</f>
        <v>0</v>
      </c>
      <c r="N549" s="20">
        <f t="shared" si="8"/>
        <v>1</v>
      </c>
    </row>
    <row r="550" spans="1:14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4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4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4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4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4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4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4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4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4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4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>
      <c r="A573" s="307" t="str">
        <f>HYPERLINK("http://www.wantgoo.com/stock/chart.aspx?stockno=3289","3289")</f>
        <v>3289</v>
      </c>
      <c r="C573" s="18">
        <f>VLOOKUP(3289,季財報!A:H,3)</f>
        <v>0</v>
      </c>
      <c r="D573" s="18">
        <f>VLOOKUP(3289,季財報!A:H,4)</f>
        <v>1</v>
      </c>
      <c r="E573" s="18">
        <f>VLOOKUP(3289,季財報!A:H,5)</f>
        <v>1</v>
      </c>
      <c r="F573" s="18">
        <f>VLOOKUP(3289,季財報!A:H,6)</f>
        <v>1</v>
      </c>
      <c r="G573" s="18">
        <f>VLOOKUP(3289,季財報!A:H,7)</f>
        <v>1</v>
      </c>
      <c r="N573" s="20">
        <f t="shared" si="8"/>
        <v>4</v>
      </c>
    </row>
    <row r="574" spans="1:19">
      <c r="A574" s="307" t="str">
        <f>HYPERLINK("http://www.wantgoo.com/stock/chart.aspx?stockno=6239","6239")</f>
        <v>6239</v>
      </c>
      <c r="C574" s="18">
        <f>VLOOKUP(6239,季財報!A:H,3)</f>
        <v>1</v>
      </c>
      <c r="D574" s="18">
        <f>VLOOKUP(6239,季財報!A:H,4)</f>
        <v>1</v>
      </c>
      <c r="E574" s="18">
        <f>VLOOKUP(6239,季財報!A:H,5)</f>
        <v>1</v>
      </c>
      <c r="F574" s="18">
        <f>VLOOKUP(6239,季財報!A:H,6)</f>
        <v>1</v>
      </c>
      <c r="G574" s="18">
        <f>VLOOKUP(6239,季財報!A:H,7)</f>
        <v>0</v>
      </c>
      <c r="N574" s="20">
        <f t="shared" si="8"/>
        <v>4</v>
      </c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4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4">
      <c r="A578" s="307" t="str">
        <f>HYPERLINK("http://www.wantgoo.com/stock/chart.aspx?stockno=9921","9921")</f>
        <v>9921</v>
      </c>
      <c r="C578" s="18">
        <f>VLOOKUP(9921,季財報!A:H,3)</f>
        <v>1</v>
      </c>
      <c r="D578" s="18">
        <f>VLOOKUP(9921,季財報!A:H,4)</f>
        <v>1</v>
      </c>
      <c r="E578" s="18">
        <f>VLOOKUP(9921,季財報!A:H,5)</f>
        <v>0</v>
      </c>
      <c r="F578" s="18">
        <f>VLOOKUP(9921,季財報!A:H,6)</f>
        <v>1</v>
      </c>
      <c r="G578" s="18">
        <f>VLOOKUP(9921,季財報!A:H,7)</f>
        <v>0</v>
      </c>
      <c r="N578" s="20">
        <f t="shared" si="8"/>
        <v>3</v>
      </c>
    </row>
    <row r="579" spans="1:14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4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4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4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4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4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4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4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4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4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4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4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4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4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4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4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4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4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4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4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4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4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4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4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4">
      <c r="A603" s="307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 t="shared" si="9"/>
        <v>3</v>
      </c>
    </row>
    <row r="604" spans="1:14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4">
      <c r="A605" s="307" t="str">
        <f>HYPERLINK("http://www.wantgoo.com/stock/chart.aspx?stockno=2345","2345")</f>
        <v>2345</v>
      </c>
      <c r="C605" s="18">
        <f>VLOOKUP(2345,季財報!A:H,3)</f>
        <v>1</v>
      </c>
      <c r="D605" s="18">
        <f>VLOOKUP(2345,季財報!A:H,4)</f>
        <v>1</v>
      </c>
      <c r="E605" s="18">
        <f>VLOOKUP(2345,季財報!A:H,5)</f>
        <v>1</v>
      </c>
      <c r="F605" s="18">
        <f>VLOOKUP(2345,季財報!A:H,6)</f>
        <v>1</v>
      </c>
      <c r="G605" s="18">
        <f>VLOOKUP(2345,季財報!A:H,7)</f>
        <v>0</v>
      </c>
      <c r="N605" s="20">
        <f t="shared" si="9"/>
        <v>4</v>
      </c>
    </row>
    <row r="606" spans="1:14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4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4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4">
      <c r="A625" s="307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 t="shared" si="9"/>
        <v>4</v>
      </c>
    </row>
    <row r="626" spans="1:14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4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4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4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4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4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4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4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4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4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4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4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4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4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4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4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4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4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4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4">
      <c r="A693" s="307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 t="shared" si="10"/>
        <v>6</v>
      </c>
    </row>
    <row r="694" spans="1:14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4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4">
      <c r="A696" s="308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 t="shared" si="10"/>
        <v>4</v>
      </c>
    </row>
    <row r="697" spans="1:14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4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4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4">
      <c r="A700" s="307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 t="shared" si="10"/>
        <v>4</v>
      </c>
    </row>
    <row r="701" spans="1:14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4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4">
      <c r="A703" s="308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 t="shared" si="10"/>
        <v>4</v>
      </c>
    </row>
    <row r="704" spans="1:14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4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4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4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4">
      <c r="A708" s="307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 t="shared" ref="N708:N737" si="11">SUM(C708:M708)</f>
        <v>4</v>
      </c>
    </row>
    <row r="709" spans="1:14">
      <c r="A709" s="308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 t="shared" si="11"/>
        <v>5</v>
      </c>
    </row>
    <row r="710" spans="1:14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4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4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4">
      <c r="A713" s="308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 t="shared" si="11"/>
        <v>5</v>
      </c>
    </row>
    <row r="714" spans="1:14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4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4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4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4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4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4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67" r:id="rId3" name="CommandButton12"/>
    <control shapeId="2065" r:id="rId4" name="CommandButton11"/>
    <control shapeId="2064" r:id="rId5" name="CommandButton10"/>
    <control shapeId="2063" r:id="rId6" name="CommandButton8"/>
    <control shapeId="2057" r:id="rId7" name="CommandButton1"/>
    <control shapeId="2049" r:id="rId8" name="CommandButton2"/>
    <control shapeId="2050" r:id="rId9" name="CommandButton3"/>
    <control shapeId="2051" r:id="rId10" name="CommandButton4"/>
    <control shapeId="2052" r:id="rId11" name="CommandButton5"/>
    <control shapeId="2053" r:id="rId12" name="CommandButton6"/>
    <control shapeId="2059" r:id="rId13" name="CommandButton7"/>
    <control shapeId="2062" r:id="rId14" name="CommandButton9"/>
    <control shapeId="2068" r:id="rId15" name="CommandButton13"/>
    <control shapeId="2069" r:id="rId16" name="CommandButton14"/>
    <control shapeId="2070" r:id="rId17" name="CommandButton15"/>
    <control shapeId="2071" r:id="rId18" name="CommandButton16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1979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2028</v>
      </c>
      <c r="C2" s="32" t="s">
        <v>2027</v>
      </c>
      <c r="D2" s="32" t="s">
        <v>1980</v>
      </c>
      <c r="E2" s="32" t="s">
        <v>1981</v>
      </c>
      <c r="F2" s="32" t="s">
        <v>1982</v>
      </c>
      <c r="G2" s="32" t="s">
        <v>1983</v>
      </c>
      <c r="H2" s="32" t="s">
        <v>2027</v>
      </c>
      <c r="I2" s="32" t="s">
        <v>1980</v>
      </c>
      <c r="J2" s="32" t="s">
        <v>1981</v>
      </c>
      <c r="K2" s="32" t="s">
        <v>1982</v>
      </c>
      <c r="L2" s="32" t="s">
        <v>1983</v>
      </c>
      <c r="M2" s="32" t="s">
        <v>2027</v>
      </c>
      <c r="N2" s="32" t="s">
        <v>1980</v>
      </c>
      <c r="O2" s="32" t="s">
        <v>1981</v>
      </c>
      <c r="P2" s="32" t="s">
        <v>1982</v>
      </c>
      <c r="Q2" s="32" t="s">
        <v>1983</v>
      </c>
    </row>
    <row r="3" spans="1:28">
      <c r="A3" s="31">
        <v>1103</v>
      </c>
      <c r="B3" s="305" t="s">
        <v>2029</v>
      </c>
      <c r="C3" s="32">
        <v>1</v>
      </c>
      <c r="D3" s="32" t="s">
        <v>1984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1984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1984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2030</v>
      </c>
      <c r="C4" s="32">
        <v>2</v>
      </c>
      <c r="D4" s="32" t="s">
        <v>1985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1985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1985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2031</v>
      </c>
      <c r="C5" s="32">
        <v>3</v>
      </c>
      <c r="D5" s="32" t="s">
        <v>1986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1986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1986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2032</v>
      </c>
      <c r="C6" s="32">
        <v>4</v>
      </c>
      <c r="D6" s="32" t="s">
        <v>1987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1987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1987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2033</v>
      </c>
      <c r="C7" s="32">
        <v>5</v>
      </c>
      <c r="D7" s="32" t="s">
        <v>1988</v>
      </c>
      <c r="E7" s="32">
        <v>118</v>
      </c>
      <c r="F7" s="154">
        <v>2125269</v>
      </c>
      <c r="G7" s="32">
        <v>2.35</v>
      </c>
      <c r="H7" s="32">
        <v>5</v>
      </c>
      <c r="I7" s="32" t="s">
        <v>1988</v>
      </c>
      <c r="J7" s="32">
        <v>118</v>
      </c>
      <c r="K7" s="154">
        <v>2127887</v>
      </c>
      <c r="L7" s="32">
        <v>2.35</v>
      </c>
      <c r="M7" s="32">
        <v>5</v>
      </c>
      <c r="N7" s="32" t="s">
        <v>1988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2034</v>
      </c>
      <c r="C8" s="32">
        <v>6</v>
      </c>
      <c r="D8" s="32" t="s">
        <v>1989</v>
      </c>
      <c r="E8" s="32">
        <v>139</v>
      </c>
      <c r="F8" s="154">
        <v>3414911</v>
      </c>
      <c r="G8" s="32">
        <v>3.78</v>
      </c>
      <c r="H8" s="32">
        <v>6</v>
      </c>
      <c r="I8" s="32" t="s">
        <v>1989</v>
      </c>
      <c r="J8" s="32">
        <v>137</v>
      </c>
      <c r="K8" s="154">
        <v>3359811</v>
      </c>
      <c r="L8" s="32">
        <v>3.72</v>
      </c>
      <c r="M8" s="32">
        <v>6</v>
      </c>
      <c r="N8" s="32" t="s">
        <v>1989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2035</v>
      </c>
      <c r="C9" s="32">
        <v>7</v>
      </c>
      <c r="D9" s="32" t="s">
        <v>1990</v>
      </c>
      <c r="E9" s="32">
        <v>59</v>
      </c>
      <c r="F9" s="154">
        <v>2092232</v>
      </c>
      <c r="G9" s="32">
        <v>2.31</v>
      </c>
      <c r="H9" s="32">
        <v>7</v>
      </c>
      <c r="I9" s="32" t="s">
        <v>1990</v>
      </c>
      <c r="J9" s="32">
        <v>58</v>
      </c>
      <c r="K9" s="154">
        <v>2054232</v>
      </c>
      <c r="L9" s="32">
        <v>2.27</v>
      </c>
      <c r="M9" s="32">
        <v>7</v>
      </c>
      <c r="N9" s="32" t="s">
        <v>1990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2036</v>
      </c>
      <c r="C10" s="32">
        <v>8</v>
      </c>
      <c r="D10" s="32" t="s">
        <v>1991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1991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1991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2037</v>
      </c>
      <c r="C11" s="32">
        <v>9</v>
      </c>
      <c r="D11" s="32" t="s">
        <v>1992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1992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1992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2038</v>
      </c>
      <c r="C12" s="32">
        <v>10</v>
      </c>
      <c r="D12" s="32" t="s">
        <v>1993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1993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1993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2039</v>
      </c>
      <c r="C13" s="32">
        <v>11</v>
      </c>
      <c r="D13" s="32" t="s">
        <v>1994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1994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1994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2040</v>
      </c>
      <c r="C14" s="32">
        <v>12</v>
      </c>
      <c r="D14" s="32" t="s">
        <v>1995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1995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1995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2041</v>
      </c>
      <c r="C15" s="32">
        <v>13</v>
      </c>
      <c r="D15" s="32" t="s">
        <v>1996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1996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1996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2042</v>
      </c>
      <c r="C16" s="32">
        <v>14</v>
      </c>
      <c r="D16" s="32" t="s">
        <v>1997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1997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1997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2043</v>
      </c>
      <c r="C17" s="32">
        <v>15</v>
      </c>
      <c r="D17" s="32" t="s">
        <v>1998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1998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1998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2044</v>
      </c>
      <c r="C18" s="32"/>
      <c r="D18" s="32" t="s">
        <v>1999</v>
      </c>
      <c r="E18" s="154">
        <v>4571</v>
      </c>
      <c r="F18" s="154">
        <v>90220260</v>
      </c>
      <c r="G18" s="32">
        <v>100</v>
      </c>
      <c r="H18" s="32"/>
      <c r="I18" s="32" t="s">
        <v>1999</v>
      </c>
      <c r="J18" s="154">
        <v>4562</v>
      </c>
      <c r="K18" s="154">
        <v>90220260</v>
      </c>
      <c r="L18" s="32">
        <v>100</v>
      </c>
      <c r="M18" s="32"/>
      <c r="N18" s="32" t="s">
        <v>1999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2045</v>
      </c>
      <c r="C19" s="32"/>
      <c r="D19" s="32" t="s">
        <v>1999</v>
      </c>
      <c r="E19" s="154">
        <v>5475</v>
      </c>
      <c r="F19" s="154">
        <v>61350880</v>
      </c>
      <c r="G19" s="32">
        <v>100</v>
      </c>
      <c r="H19" s="32"/>
      <c r="I19" s="32" t="s">
        <v>1999</v>
      </c>
      <c r="J19" s="154">
        <v>1487</v>
      </c>
      <c r="K19" s="154">
        <v>52577600</v>
      </c>
      <c r="L19" s="32">
        <v>100</v>
      </c>
      <c r="M19" s="32"/>
      <c r="N19" s="32" t="s">
        <v>1999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097" r:id="rId27" name="CommandButton2"/>
    <control shapeId="4098" r:id="rId28" name="CommandButton3"/>
    <control shapeId="4099" r:id="rId29" name="CommandButton4"/>
    <control shapeId="4105" r:id="rId30" name="CommandButton10"/>
    <control shapeId="4106" r:id="rId31" name="CommandButton11"/>
    <control shapeId="4107" r:id="rId32" name="CommandButton12"/>
    <control shapeId="4108" r:id="rId33" name="CommandButton13"/>
    <control shapeId="4109" r:id="rId34" name="CommandButton1"/>
    <control shapeId="4110" r:id="rId35" name="CommandButton14"/>
    <control shapeId="4111" r:id="rId36" name="CommandButton15"/>
    <control shapeId="4112" r:id="rId37" name="CommandButton16"/>
    <control shapeId="4113" r:id="rId38" name="CommandButton17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76" t="s">
        <v>1867</v>
      </c>
      <c r="S1" s="377"/>
      <c r="T1" s="377"/>
      <c r="U1" s="377"/>
      <c r="V1" s="378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75" t="s">
        <v>204</v>
      </c>
      <c r="C3" s="375"/>
      <c r="D3" s="375"/>
      <c r="E3" s="375"/>
      <c r="F3" s="375"/>
      <c r="G3" s="375"/>
      <c r="H3" s="375"/>
      <c r="I3" s="43"/>
      <c r="J3" s="375" t="s">
        <v>205</v>
      </c>
      <c r="K3" s="375"/>
      <c r="L3" s="375"/>
      <c r="M3" s="375"/>
      <c r="N3" s="375"/>
      <c r="O3" s="375"/>
      <c r="P3" s="375"/>
      <c r="R3" s="381" t="s">
        <v>1872</v>
      </c>
      <c r="S3" s="322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79"/>
      <c r="T7" s="379"/>
      <c r="U7" s="379"/>
      <c r="V7" s="380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75" t="s">
        <v>1869</v>
      </c>
      <c r="C14" s="375"/>
      <c r="D14" s="375"/>
      <c r="E14" s="375"/>
      <c r="F14" s="375"/>
      <c r="G14" s="375"/>
      <c r="H14" s="375"/>
      <c r="I14" s="43"/>
      <c r="J14" s="375" t="s">
        <v>206</v>
      </c>
      <c r="K14" s="375"/>
      <c r="L14" s="375"/>
      <c r="M14" s="375"/>
      <c r="N14" s="375"/>
      <c r="O14" s="375"/>
      <c r="P14" s="375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75" t="s">
        <v>1868</v>
      </c>
      <c r="C25" s="375"/>
      <c r="D25" s="375"/>
      <c r="E25" s="375"/>
      <c r="F25" s="375"/>
      <c r="G25" s="375"/>
      <c r="H25" s="375"/>
      <c r="I25" s="43"/>
      <c r="J25" s="375" t="s">
        <v>1871</v>
      </c>
      <c r="K25" s="375"/>
      <c r="L25" s="375"/>
      <c r="M25" s="375"/>
      <c r="N25" s="375"/>
      <c r="O25" s="375"/>
      <c r="P25" s="375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69" r:id="rId4" name="ComboBox1"/>
    <control shapeId="7170" r:id="rId5" name="ComboBox2"/>
    <control shapeId="7171" r:id="rId6" name="ComboBox3"/>
    <control shapeId="7172" r:id="rId7" name="CommandButton1"/>
    <control shapeId="7173" r:id="rId8" name="CommandButton2"/>
    <control shapeId="7174" r:id="rId9" name="CommandButton3"/>
    <control shapeId="7175" r:id="rId10" name="CommandButton4"/>
    <control shapeId="7176" r:id="rId11" name="CommandButton5"/>
    <control shapeId="7178" r:id="rId12" name="CommandButton7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2003</v>
      </c>
      <c r="B1" s="48" t="s">
        <v>2054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2008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2046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2047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2047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2046</v>
      </c>
    </row>
    <row r="6" spans="1:11" customFormat="1" hidden="1">
      <c r="A6">
        <v>8255</v>
      </c>
      <c r="B6" t="s">
        <v>2005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2046</v>
      </c>
    </row>
    <row r="7" spans="1:11" customFormat="1" hidden="1">
      <c r="A7">
        <v>8109</v>
      </c>
      <c r="B7" t="s">
        <v>2023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2046</v>
      </c>
    </row>
    <row r="8" spans="1:11" customFormat="1" hidden="1">
      <c r="A8">
        <v>8099</v>
      </c>
      <c r="B8" t="s">
        <v>2024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2046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2047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2046</v>
      </c>
    </row>
    <row r="11" spans="1:11" customFormat="1" hidden="1">
      <c r="A11">
        <v>8059</v>
      </c>
      <c r="B11" t="s">
        <v>2018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2046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2046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2046</v>
      </c>
    </row>
    <row r="14" spans="1:11" customFormat="1" hidden="1">
      <c r="A14">
        <v>6287</v>
      </c>
      <c r="B14" t="s">
        <v>2012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2046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2046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2046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2047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2046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2046</v>
      </c>
    </row>
    <row r="20" spans="1:11" customFormat="1" hidden="1">
      <c r="A20">
        <v>6204</v>
      </c>
      <c r="B20" t="s">
        <v>2022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2046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2046</v>
      </c>
    </row>
    <row r="22" spans="1:11" customFormat="1" hidden="1">
      <c r="A22">
        <v>6129</v>
      </c>
      <c r="B22" t="s">
        <v>2011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2046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2046</v>
      </c>
    </row>
    <row r="24" spans="1:11" customFormat="1" hidden="1">
      <c r="A24">
        <v>6023</v>
      </c>
      <c r="B24" t="s">
        <v>2049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2046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2047</v>
      </c>
    </row>
    <row r="26" spans="1:11" customFormat="1" hidden="1">
      <c r="A26">
        <v>5601</v>
      </c>
      <c r="B26" t="s">
        <v>2053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2046</v>
      </c>
    </row>
    <row r="27" spans="1:11" customFormat="1" hidden="1">
      <c r="A27">
        <v>5508</v>
      </c>
      <c r="B27" t="s">
        <v>2025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2046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2046</v>
      </c>
    </row>
    <row r="29" spans="1:11" customFormat="1" hidden="1">
      <c r="A29">
        <v>5460</v>
      </c>
      <c r="B29" t="s">
        <v>2021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2046</v>
      </c>
    </row>
    <row r="30" spans="1:11" customFormat="1" hidden="1">
      <c r="A30">
        <v>5432</v>
      </c>
      <c r="B30" t="s">
        <v>2016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2046</v>
      </c>
    </row>
    <row r="31" spans="1:11" customFormat="1" hidden="1">
      <c r="A31">
        <v>5356</v>
      </c>
      <c r="B31" t="s">
        <v>2013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2046</v>
      </c>
    </row>
    <row r="32" spans="1:11" customFormat="1" hidden="1">
      <c r="A32">
        <v>5349</v>
      </c>
      <c r="B32" t="s">
        <v>2020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2046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2046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2047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2046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2047</v>
      </c>
    </row>
    <row r="37" spans="1:11" customFormat="1" hidden="1">
      <c r="A37">
        <v>4972</v>
      </c>
      <c r="B37" t="s">
        <v>2015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2046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2046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2047</v>
      </c>
    </row>
    <row r="40" spans="1:11" customFormat="1" hidden="1">
      <c r="A40">
        <v>4703</v>
      </c>
      <c r="B40" t="s">
        <v>2051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2046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2047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2046</v>
      </c>
    </row>
    <row r="43" spans="1:11" customFormat="1" hidden="1">
      <c r="A43">
        <v>4161</v>
      </c>
      <c r="B43" t="s">
        <v>2007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2046</v>
      </c>
    </row>
    <row r="44" spans="1:11" customFormat="1" hidden="1">
      <c r="A44">
        <v>4147</v>
      </c>
      <c r="B44" t="s">
        <v>2006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2046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2047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2046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2046</v>
      </c>
    </row>
    <row r="48" spans="1:11" customFormat="1" hidden="1">
      <c r="A48" s="305">
        <v>3675</v>
      </c>
      <c r="B48" s="305" t="s">
        <v>2010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2046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2046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2046</v>
      </c>
    </row>
    <row r="51" spans="1:11" customFormat="1" hidden="1">
      <c r="A51">
        <v>3629</v>
      </c>
      <c r="B51" t="s">
        <v>2014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2046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2046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2046</v>
      </c>
    </row>
    <row r="54" spans="1:11" customFormat="1" hidden="1">
      <c r="A54">
        <v>3552</v>
      </c>
      <c r="B54" t="s">
        <v>2048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2046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2047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2046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2046</v>
      </c>
    </row>
    <row r="58" spans="1:11" customFormat="1" hidden="1">
      <c r="A58">
        <v>3293</v>
      </c>
      <c r="B58" t="s">
        <v>2026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2046</v>
      </c>
    </row>
    <row r="59" spans="1:11" customFormat="1" hidden="1">
      <c r="A59">
        <v>3290</v>
      </c>
      <c r="B59" t="s">
        <v>2052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2046</v>
      </c>
    </row>
    <row r="60" spans="1:11" customFormat="1" hidden="1">
      <c r="A60" s="305">
        <v>3260</v>
      </c>
      <c r="B60" s="305" t="s">
        <v>2009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2046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2046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2046</v>
      </c>
    </row>
    <row r="63" spans="1:11" customFormat="1" hidden="1">
      <c r="A63">
        <v>3211</v>
      </c>
      <c r="B63" t="s">
        <v>2050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2046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2047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2046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2046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2046</v>
      </c>
    </row>
    <row r="68" spans="1:11" customFormat="1" hidden="1">
      <c r="A68">
        <v>3081</v>
      </c>
      <c r="B68" t="s">
        <v>2017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2046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2046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2046</v>
      </c>
    </row>
    <row r="71" spans="1:11" customFormat="1" hidden="1">
      <c r="A71">
        <v>1595</v>
      </c>
      <c r="B71" t="s">
        <v>2019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2046</v>
      </c>
    </row>
    <row r="72" spans="1:11" customFormat="1" hidden="1">
      <c r="A72" s="305">
        <v>1586</v>
      </c>
      <c r="B72" s="305" t="s">
        <v>2004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2046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89" r:id="rId3" name="ComboBox1"/>
    <control shapeId="12293" r:id="rId4" name="CommandButton4"/>
    <control shapeId="12295" r:id="rId5" name="CommandButton5"/>
    <control shapeId="12296" r:id="rId6" name="CommandButton6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9" r:id="rId3" name="CommandButton7"/>
    <control shapeId="3087" r:id="rId4" name="CommandButton2"/>
    <control shapeId="3086" r:id="rId5" name="CommandButton10"/>
    <control shapeId="3080" r:id="rId6" name="CommandButton1"/>
    <control shapeId="3079" r:id="rId7" name="CommandButton5"/>
    <control shapeId="3077" r:id="rId8" name="CommandButton4"/>
    <control shapeId="3075" r:id="rId9" name="CommandButton3"/>
    <control shapeId="3085" r:id="rId10" name="CommandButton9"/>
    <control shapeId="3088" r:id="rId11" name="CommandButton6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0" r:id="rId2" name="CommandButton3"/>
    <control shapeId="50179" r:id="rId3" name="CommandButton2"/>
    <control shapeId="50178" r:id="rId4" name="CommandButton1"/>
    <control shapeId="50183" r:id="rId5" name="CommandButton5"/>
    <control shapeId="50184" r:id="rId6" name="CommandButton6"/>
    <control shapeId="50186" r:id="rId7" name="CommandButton7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1" r:id="rId3" name="CommandButton1"/>
    <control shapeId="5122" r:id="rId4" name="CommandButton2"/>
    <control shapeId="5123" r:id="rId5" name="CommandButton3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57" r:id="rId3" name="CommandButton1"/>
    <control shapeId="19460" r:id="rId4" name="CommandButton2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Popmiko</cp:lastModifiedBy>
  <dcterms:created xsi:type="dcterms:W3CDTF">2015-03-09T15:48:32Z</dcterms:created>
  <dcterms:modified xsi:type="dcterms:W3CDTF">2016-01-17T15:19:53Z</dcterms:modified>
</cp:coreProperties>
</file>