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855" tabRatio="853" activeTab="4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 l="1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<sst xmlns="http://schemas.openxmlformats.org/spreadsheetml/2006/main" count="4702" uniqueCount="2063">
  <si>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</si>
  <si>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</si>
  <si>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</si>
  <si>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</si>
  <si>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</si>
  <si>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</si>
  <si>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</si>
  <si>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</si>
  <si>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</si>
  <si>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</si>
  <si>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</si>
  <si>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</si>
  <si>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</si>
  <si>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</si>
  <si>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</si>
  <si>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</si>
  <si>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</si>
  <si>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</si>
  <si>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</si>
  <si>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</si>
  <si>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</si>
  <si>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</si>
  <si>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</si>
  <si>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</si>
  <si>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</si>
  <si>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</si>
  <si>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</si>
  <si>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</si>
  <si>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</si>
  <si>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</si>
  <si>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</si>
  <si>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</si>
  <si>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</si>
  <si>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</si>
  <si>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</si>
  <si>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</si>
  <si>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</si>
  <si>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</si>
  <si>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</si>
  <si>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</si>
  <si>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</si>
  <si>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</si>
  <si>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</si>
  <si>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</si>
  <si>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</si>
  <si>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</si>
  <si>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</si>
  <si>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</si>
  <si>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</si>
  <si>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</si>
  <si>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</si>
  <si>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</si>
  <si>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</si>
  <si>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</si>
  <si>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</si>
  <si>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</si>
  <si>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</si>
  <si>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</si>
  <si>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</si>
  <si>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</si>
  <si>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</si>
  <si>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</si>
  <si>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</si>
  <si>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</si>
  <si>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</si>
  <si>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</si>
  <si>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</si>
  <si>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</si>
  <si>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</si>
  <si>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</si>
  <si>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</si>
  <si>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</si>
  <si>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</si>
  <si>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</si>
  <si>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</si>
  <si>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</si>
  <si>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</si>
  <si>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</si>
  <si>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</si>
  <si>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</si>
  <si>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</si>
  <si>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</si>
  <si>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</si>
  <si>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</si>
  <si>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</si>
  <si>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</si>
  <si>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</si>
  <si>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</si>
  <si>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</si>
  <si>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</si>
  <si>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</si>
  <si>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</si>
  <si>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</si>
  <si>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</si>
  <si>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</si>
  <si>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</si>
  <si>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</si>
  <si>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</si>
  <si>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</si>
  <si>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</si>
  <si>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</si>
  <si>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</si>
  <si>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</si>
  <si>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</si>
  <si>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</si>
  <si>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</si>
  <si>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</si>
  <si>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</si>
  <si>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</si>
  <si>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</si>
  <si>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</si>
  <si>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</si>
  <si>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</si>
  <si>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</si>
  <si>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</si>
  <si>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</si>
  <si>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</si>
  <si>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</si>
  <si>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</si>
  <si>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</si>
  <si>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</si>
  <si>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</si>
  <si>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</si>
  <si>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</si>
  <si>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</si>
  <si>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</si>
  <si>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</si>
  <si>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</si>
  <si>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</si>
  <si>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</si>
  <si>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</si>
  <si>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</si>
  <si>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</si>
  <si>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</si>
  <si>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</si>
  <si>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</si>
  <si>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</si>
  <si>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</si>
  <si>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</si>
  <si>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</si>
  <si>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</si>
  <si>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</si>
  <si>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</si>
  <si>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</si>
  <si>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</si>
  <si>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</si>
  <si>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</si>
  <si>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</si>
  <si>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</si>
  <si>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</si>
  <si>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</si>
  <si>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</si>
  <si>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</si>
  <si>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</si>
  <si>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</si>
  <si>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</si>
  <si>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</si>
  <si>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</si>
  <si>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</si>
  <si>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</si>
  <si>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</si>
  <si>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</si>
  <si>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</si>
  <si>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</si>
  <si>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</si>
  <si>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</si>
  <si>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</si>
  <si>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</si>
  <si>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</si>
  <si>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</si>
  <si>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</si>
  <si>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</si>
  <si>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</si>
  <si>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</si>
  <si>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</si>
  <si>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</si>
  <si>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</si>
  <si>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</si>
  <si>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</si>
  <si>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</si>
  <si>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</si>
  <si>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</si>
  <si>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</si>
  <si>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</si>
  <si>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</si>
  <si>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</si>
  <si>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</si>
  <si>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</si>
  <si>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</si>
  <si>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</si>
  <si>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</si>
  <si>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</si>
  <si>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</si>
  <si>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</si>
  <si>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</si>
  <si>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</si>
  <si>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</si>
  <si>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</si>
  <si>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</si>
  <si>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</si>
  <si>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</si>
  <si>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</si>
  <si>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</si>
  <si>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</si>
  <si>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</si>
  <si>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</si>
  <si>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</si>
  <si>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</si>
  <si>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</si>
  <si>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</si>
  <si>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</si>
  <si>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</si>
  <si>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</si>
  <si>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</si>
  <si>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</si>
  <si>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</si>
  <si>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</si>
  <si>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</si>
  <si>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</si>
  <si>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</si>
  <si>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</si>
  <si>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</si>
  <si>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</si>
  <si>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</si>
  <si>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</si>
  <si>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</si>
  <si>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</si>
  <si>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</si>
  <si>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</si>
  <si>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</si>
  <si>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</si>
  <si>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</si>
  <si>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</si>
  <si>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</si>
  <si>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</si>
  <si>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</si>
  <si>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</si>
  <si>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</si>
  <si>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</si>
  <si>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</si>
  <si>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</si>
  <si>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</si>
  <si>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</si>
  <si>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</si>
  <si>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</si>
  <si>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</si>
  <si>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</si>
  <si>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</si>
  <si>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</si>
  <si>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</si>
  <si>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</si>
  <si>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</si>
  <si>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</si>
  <si>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</si>
  <si>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</si>
  <si>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</si>
  <si>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</si>
  <si>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</si>
  <si>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</si>
  <si>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</si>
  <si>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</si>
  <si>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</si>
  <si>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</si>
  <si>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</si>
  <si>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</si>
  <si>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</si>
  <si>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</si>
  <si>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</si>
  <si>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</si>
  <si>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</si>
  <si>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</si>
  <si>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</si>
  <si>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</si>
  <si>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</si>
  <si>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</si>
  <si>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</si>
  <si>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</si>
  <si>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</si>
  <si>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</si>
  <si>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</si>
  <si>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</si>
  <si>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</si>
  <si>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</si>
  <si>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</si>
  <si>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</si>
  <si>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</si>
  <si>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</si>
  <si>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</si>
  <si>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</si>
  <si>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</si>
  <si>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</si>
  <si>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</si>
  <si>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</si>
  <si>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</si>
  <si>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</si>
  <si>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</si>
  <si>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</si>
  <si>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</si>
  <si>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</si>
  <si>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</si>
  <si>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</si>
  <si>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</si>
  <si>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</si>
  <si>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</si>
  <si>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</si>
  <si>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</si>
  <si>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</si>
  <si>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</si>
  <si>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</si>
  <si>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</si>
  <si>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</si>
  <si>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</si>
  <si>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</si>
  <si>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</si>
  <si>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</si>
  <si>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</si>
  <si>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</si>
  <si>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</si>
  <si>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</si>
  <si>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</si>
  <si>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</si>
  <si>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</si>
  <si>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</si>
  <si>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</si>
  <si>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</si>
  <si>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</si>
  <si>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</si>
  <si>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</si>
  <si>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</si>
  <si>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</si>
  <si>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</si>
  <si>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</si>
  <si>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</si>
  <si>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</si>
  <si>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</si>
  <si>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</si>
  <si>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</si>
  <si>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</si>
  <si>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</si>
  <si>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</si>
  <si>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</si>
  <si>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</si>
  <si>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</si>
  <si>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</si>
  <si>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</si>
  <si>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</si>
  <si>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</si>
  <si>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</si>
  <si>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</si>
  <si>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</si>
  <si>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</si>
  <si>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</si>
  <si>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</si>
  <si>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</si>
  <si>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</si>
  <si>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</si>
  <si>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</si>
  <si>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</si>
  <si>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</si>
  <si>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</si>
  <si>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</si>
  <si>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</si>
  <si>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</si>
  <si>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</si>
  <si>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</si>
  <si>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</si>
  <si>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</si>
  <si>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</si>
  <si>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</si>
  <si>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</si>
  <si>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</si>
  <si>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</si>
  <si>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</si>
  <si>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</si>
  <si>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</si>
  <si>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</si>
  <si>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</si>
  <si>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</si>
  <si>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</si>
  <si>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</si>
  <si>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</si>
  <si>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</si>
  <si>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</si>
  <si>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</si>
  <si>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</si>
  <si>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</si>
  <si>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</si>
  <si>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</si>
  <si>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</si>
  <si>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</si>
  <si>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</si>
  <si>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</si>
  <si>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</si>
  <si>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</si>
  <si>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</si>
  <si>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</si>
  <si>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</si>
  <si>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</si>
  <si>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</si>
  <si>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</si>
  <si>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</si>
  <si>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</si>
  <si>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</si>
  <si>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</si>
  <si>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</si>
  <si>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</si>
  <si>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</si>
  <si>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</si>
  <si>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</si>
  <si>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</si>
  <si>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</si>
  <si>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</si>
  <si>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</si>
  <si>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</si>
  <si>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</si>
  <si>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</si>
  <si>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</si>
  <si>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</si>
  <si>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</si>
  <si>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</si>
  <si>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</si>
  <si>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</si>
  <si>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</si>
  <si>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</si>
  <si>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</si>
  <si>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</si>
  <si>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</si>
  <si>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</si>
  <si>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</si>
  <si>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</si>
  <si>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</si>
  <si>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</si>
  <si>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</si>
  <si>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</si>
  <si>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</si>
  <si>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</si>
  <si>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</si>
  <si>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</si>
  <si>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</si>
  <si>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</si>
  <si>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</si>
  <si>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</si>
  <si>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</si>
  <si>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</si>
  <si>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</si>
  <si>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</si>
  <si>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</si>
  <si>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</si>
  <si>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</si>
  <si>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</si>
  <si>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</si>
  <si>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</si>
  <si>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</si>
  <si>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</si>
  <si>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</si>
  <si>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</si>
  <si>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</si>
  <si>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</si>
  <si>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</si>
  <si>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</si>
  <si>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</si>
  <si>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</si>
  <si>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</si>
  <si>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</si>
  <si>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</si>
  <si>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</si>
  <si>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</si>
  <si>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</si>
  <si>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</si>
  <si>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</si>
  <si>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</si>
  <si>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</si>
  <si>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</si>
  <si>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</si>
  <si>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</si>
  <si>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</si>
  <si>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</si>
  <si>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</si>
  <si>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</si>
  <si>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</si>
  <si>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</si>
  <si>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</si>
  <si>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</si>
  <si>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</si>
  <si>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</si>
  <si>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</si>
  <si>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</si>
  <si>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</si>
  <si>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</si>
  <si>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</si>
  <si>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</si>
  <si>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</si>
  <si>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</si>
  <si>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</si>
  <si>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</si>
  <si>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</si>
  <si>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</si>
  <si>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</si>
  <si>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</si>
  <si>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</si>
  <si>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</si>
  <si>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</si>
  <si>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</si>
  <si>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</si>
  <si>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</si>
  <si>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</si>
  <si>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</si>
  <si>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</si>
  <si>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</si>
  <si>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</si>
  <si>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</si>
  <si>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</si>
  <si>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</si>
  <si>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</si>
  <si>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</si>
  <si>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</si>
  <si>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</si>
  <si>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</si>
  <si>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</si>
  <si>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</si>
  <si>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</si>
  <si>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</si>
  <si>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</si>
  <si>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</si>
  <si>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</si>
  <si>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</si>
  <si>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</si>
  <si>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</si>
  <si>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</si>
  <si>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</si>
  <si>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</si>
  <si>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</si>
  <si>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</si>
  <si>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</si>
  <si>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</si>
  <si>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</si>
  <si>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</si>
  <si>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</si>
  <si>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</si>
  <si>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</si>
  <si>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</si>
  <si>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</si>
  <si>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</si>
  <si>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</si>
  <si>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</si>
  <si>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</si>
  <si>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</si>
  <si>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</si>
  <si>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</si>
  <si>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</si>
  <si>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</si>
  <si>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</si>
  <si>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</si>
  <si>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</si>
  <si>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</si>
  <si>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</si>
  <si>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</si>
  <si>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</si>
  <si>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</si>
  <si>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</si>
  <si>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</si>
  <si>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</si>
  <si>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</si>
  <si>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</si>
  <si>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</si>
  <si>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</si>
  <si>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</si>
  <si>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</si>
  <si>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</si>
  <si>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</si>
  <si>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</si>
  <si>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</si>
  <si>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</si>
  <si>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</si>
  <si>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</si>
  <si>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</si>
  <si>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</si>
  <si>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</si>
  <si>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</si>
  <si>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</si>
  <si>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</si>
  <si>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</si>
  <si>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</si>
  <si>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</si>
  <si>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</si>
  <si>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</si>
  <si>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</si>
  <si>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</si>
  <si>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</si>
  <si>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</si>
  <si>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</si>
  <si>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</si>
  <si>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</si>
  <si>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</si>
  <si>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</si>
  <si>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</si>
  <si>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</si>
  <si>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</si>
  <si>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</si>
  <si>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</si>
  <si>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</si>
  <si>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</si>
  <si>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</si>
  <si>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</si>
  <si>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</si>
  <si>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</si>
  <si>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</si>
  <si>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</si>
  <si>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</si>
  <si>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</si>
  <si>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</si>
  <si>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</si>
  <si>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</si>
  <si>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</si>
  <si>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</si>
  <si>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</si>
  <si>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</si>
  <si>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</si>
  <si>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</si>
  <si>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</si>
  <si>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</si>
  <si>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</si>
  <si>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</si>
  <si>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</si>
  <si>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</si>
  <si>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</si>
  <si>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</si>
  <si>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</si>
  <si>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</si>
  <si>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</si>
  <si>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</si>
  <si>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</si>
  <si>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</si>
  <si>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</si>
  <si>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</si>
  <si>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</si>
  <si>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</si>
  <si>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</si>
  <si>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</si>
  <si>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</si>
  <si>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</si>
  <si>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</si>
  <si>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</si>
  <si>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</si>
  <si>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</si>
  <si>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</si>
  <si>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</si>
  <si>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</si>
  <si>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</si>
  <si>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</si>
  <si>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</si>
  <si>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</si>
  <si>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</si>
  <si>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</si>
  <si>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</si>
  <si>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</si>
  <si>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</si>
  <si>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</si>
  <si>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</si>
  <si>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</si>
  <si>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</si>
  <si>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</si>
  <si>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</si>
  <si>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</si>
  <si>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</si>
  <si>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</si>
  <si>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</si>
  <si>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</si>
  <si>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</si>
  <si>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</si>
  <si>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</si>
  <si>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</si>
  <si>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</si>
  <si>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</si>
  <si>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</si>
  <si>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</si>
  <si>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</si>
  <si>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</si>
  <si>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</si>
  <si>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</si>
  <si>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</si>
  <si>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</si>
  <si>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</si>
  <si>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</si>
  <si>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</si>
  <si>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</si>
  <si>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</si>
  <si>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</si>
  <si>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</si>
  <si>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</si>
  <si>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</si>
  <si>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</si>
  <si>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</si>
  <si>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</si>
  <si>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</si>
  <si>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</si>
  <si>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</si>
  <si>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</si>
  <si>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</si>
  <si>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</si>
  <si>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</si>
  <si>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</si>
  <si>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</si>
  <si>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</si>
  <si>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</si>
  <si>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</si>
  <si>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</si>
  <si>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</si>
  <si>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</si>
  <si>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</si>
  <si>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</si>
  <si>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</si>
  <si>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</si>
  <si>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</si>
  <si>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</si>
  <si>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</si>
  <si>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</si>
  <si>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</si>
  <si>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</si>
  <si>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</si>
  <si>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</si>
  <si>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</si>
  <si>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</si>
  <si>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</si>
  <si>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</si>
  <si>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</si>
  <si>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</si>
  <si>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</si>
  <si>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</si>
  <si>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</si>
  <si>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</si>
  <si>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</si>
  <si>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</si>
  <si>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</si>
  <si>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</si>
  <si>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</si>
  <si>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</si>
  <si>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</si>
  <si>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</si>
  <si>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</si>
  <si>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</si>
  <si>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</si>
  <si>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</si>
  <si>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</si>
  <si>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</si>
  <si>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</si>
  <si>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</si>
  <si>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</si>
  <si>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</si>
  <si>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</si>
  <si>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</si>
  <si>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</si>
  <si>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</si>
  <si>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</si>
  <si>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</si>
  <si>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</si>
  <si>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</si>
  <si>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</si>
  <si>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</si>
  <si>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</si>
  <si>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</si>
  <si>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</si>
  <si>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</si>
  <si>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</si>
  <si>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</si>
  <si>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</si>
  <si>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</si>
  <si>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</si>
  <si>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</si>
  <si>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</si>
  <si>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</si>
  <si>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</si>
  <si>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</si>
  <si>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</si>
  <si>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</si>
  <si>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</si>
  <si>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</si>
  <si>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</si>
  <si>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</si>
  <si>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</si>
  <si>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</si>
  <si>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</si>
  <si>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</si>
  <si>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</si>
  <si>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</si>
  <si>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</si>
  <si>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</si>
  <si>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</si>
  <si>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</si>
  <si>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</si>
  <si>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</si>
  <si>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</si>
  <si>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</si>
  <si>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</si>
  <si>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</si>
  <si>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</si>
  <si>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</si>
  <si>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</si>
  <si>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</si>
  <si>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</si>
  <si>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</si>
  <si>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</si>
  <si>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</si>
  <si>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</si>
  <si>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</si>
  <si>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</si>
  <si>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</si>
  <si>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</si>
  <si>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</si>
  <si>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</si>
  <si>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</si>
  <si>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</si>
  <si>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</si>
  <si>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</si>
  <si>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</si>
  <si>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</si>
  <si>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</si>
  <si>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</si>
  <si>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</si>
  <si>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</si>
  <si>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</si>
  <si>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</si>
  <si>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</si>
  <si>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</si>
  <si>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</si>
  <si>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</si>
  <si>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</si>
  <si>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</si>
  <si>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</si>
  <si>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</si>
  <si>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</si>
  <si>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</si>
  <si>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</si>
  <si>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</si>
  <si>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</si>
  <si>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</si>
  <si>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</si>
  <si>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</si>
  <si>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</si>
  <si>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</si>
  <si>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</si>
  <si>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</si>
  <si>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</si>
  <si>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</si>
  <si>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</si>
  <si>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</si>
  <si>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</si>
  <si>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</si>
  <si>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</si>
  <si>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</si>
  <si>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</si>
  <si>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</si>
  <si>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</si>
  <si>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</si>
  <si>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</si>
  <si>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</si>
  <si>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</si>
  <si>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</si>
  <si>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</si>
  <si>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</si>
  <si>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</si>
  <si>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</si>
  <si>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</si>
  <si>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</si>
  <si>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</si>
  <si>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</si>
  <si>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</si>
  <si>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</si>
  <si>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</si>
  <si>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</si>
  <si>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</si>
  <si>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</si>
  <si>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</si>
  <si>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</si>
  <si>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</si>
  <si>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</si>
  <si>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</si>
  <si>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</si>
  <si>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</si>
  <si>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</si>
  <si>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</si>
  <si>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</si>
  <si>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</si>
  <si>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</si>
  <si>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</si>
  <si>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</si>
  <si>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</si>
  <si>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</si>
  <si>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</si>
  <si>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</si>
  <si>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</si>
  <si>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</si>
  <si>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</si>
  <si>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</si>
  <si>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</si>
  <si>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</si>
  <si>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</si>
  <si>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</si>
  <si>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</si>
  <si>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</si>
  <si>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</si>
  <si>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</si>
  <si>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</si>
  <si>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</si>
  <si>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</si>
  <si>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</si>
  <si>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</si>
  <si>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</si>
  <si>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</si>
  <si>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</si>
  <si>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</si>
  <si>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</si>
  <si>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</si>
  <si>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</si>
  <si>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</si>
  <si>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</si>
  <si>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</si>
  <si>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</si>
  <si>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</si>
  <si>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</si>
  <si>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</si>
  <si>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</si>
  <si>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</si>
  <si>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</si>
  <si>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</si>
  <si>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</si>
  <si>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</si>
  <si>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</si>
  <si>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</si>
  <si>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</si>
  <si>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</si>
  <si>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</si>
  <si>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</si>
  <si>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</si>
  <si>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</si>
  <si>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</si>
  <si>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</si>
  <si>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</si>
  <si>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</si>
  <si>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</si>
  <si>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</si>
  <si>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</si>
  <si>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</si>
  <si>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</si>
  <si>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</si>
  <si>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</si>
  <si>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</si>
  <si>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</si>
  <si>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</si>
  <si>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</si>
  <si>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</si>
  <si>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</si>
  <si>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</si>
  <si>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</si>
  <si>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</si>
  <si>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</si>
  <si>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</si>
  <si>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</si>
  <si>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</si>
  <si>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</si>
  <si>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</si>
  <si>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</si>
  <si>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</si>
  <si>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</si>
  <si>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</si>
  <si>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</si>
  <si>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</si>
  <si>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</si>
  <si>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</si>
  <si>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</si>
  <si>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</si>
  <si>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</si>
  <si>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</si>
  <si>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</si>
  <si>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</si>
  <si>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</si>
  <si>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</si>
  <si>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</si>
  <si>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</si>
  <si>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</si>
  <si>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</si>
  <si>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</si>
  <si>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</si>
  <si>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</si>
  <si>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</si>
  <si>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</si>
  <si>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</si>
  <si>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</si>
  <si>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</si>
  <si>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</si>
  <si>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</si>
  <si>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</si>
  <si>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</si>
  <si>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</si>
  <si>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</si>
  <si>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</si>
  <si>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</si>
  <si>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</si>
  <si>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</si>
  <si>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</si>
  <si>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</si>
  <si>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</si>
  <si>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</si>
  <si>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</si>
  <si>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</si>
  <si>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</si>
  <si>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</si>
  <si>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</si>
  <si>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</si>
  <si>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</si>
  <si>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</si>
  <si>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</si>
  <si>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</si>
  <si>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</si>
  <si>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</si>
  <si>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</si>
  <si>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</si>
  <si>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</si>
  <si>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</si>
  <si>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</si>
  <si>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</si>
  <si>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</si>
  <si>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</si>
  <si>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</si>
  <si>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</si>
  <si>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</si>
  <si>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</si>
  <si>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</si>
  <si>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</si>
  <si>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</si>
  <si>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</si>
  <si>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</si>
  <si>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</si>
  <si>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</si>
  <si>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</si>
  <si>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</si>
  <si>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</si>
  <si>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</si>
  <si>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</si>
  <si>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</si>
  <si>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</si>
  <si>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</si>
  <si>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</si>
  <si>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</si>
  <si>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</si>
  <si>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</si>
  <si>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</si>
  <si>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</si>
  <si>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</si>
  <si>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</si>
  <si>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</si>
  <si>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</si>
  <si>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</si>
  <si>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</si>
  <si>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</si>
  <si>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</si>
  <si>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</si>
  <si>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</si>
  <si>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</si>
  <si>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</si>
  <si>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</si>
  <si>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</si>
  <si>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</si>
  <si>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</si>
  <si>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</si>
  <si>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</si>
  <si>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</si>
  <si>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</si>
  <si>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</si>
  <si>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</si>
  <si>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</si>
  <si>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</si>
  <si>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</si>
  <si>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</si>
  <si>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</si>
  <si>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</si>
  <si>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</si>
  <si>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</si>
  <si>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</si>
  <si>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</si>
  <si>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</si>
  <si>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</si>
  <si>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</si>
  <si>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</si>
  <si>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</si>
  <si>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</si>
  <si>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</si>
  <si>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</si>
  <si>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</si>
  <si>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</si>
  <si>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</si>
  <si>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</si>
  <si>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</si>
  <si>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</si>
  <si>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</si>
  <si>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</si>
  <si>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</si>
  <si>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</si>
  <si>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</si>
  <si>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</si>
  <si>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</si>
  <si>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</si>
  <si>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</si>
  <si>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</si>
  <si>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</si>
  <si>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</si>
  <si>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</si>
  <si>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</si>
  <si>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</si>
  <si>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</si>
  <si>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</si>
  <si>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</si>
  <si>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</si>
  <si>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</si>
  <si>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</si>
  <si>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</si>
  <si>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</si>
  <si>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</si>
  <si>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</si>
  <si>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</si>
  <si>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</si>
  <si>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</si>
  <si>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</si>
  <si>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</si>
  <si>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</si>
  <si>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</si>
  <si>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</si>
  <si>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</si>
  <si>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</si>
  <si>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</si>
  <si>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</si>
  <si>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</si>
  <si>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</si>
  <si>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</si>
  <si>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</si>
  <si>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</si>
  <si>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</si>
  <si>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</si>
  <si>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</si>
  <si>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</si>
  <si>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</si>
  <si>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</si>
  <si>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</si>
  <si>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</si>
  <si>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</si>
  <si>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</si>
  <si>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</si>
  <si>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</si>
  <si>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</si>
  <si>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</si>
  <si>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</si>
  <si>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</si>
  <si>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</si>
  <si>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</si>
  <si>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</si>
  <si>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</si>
  <si>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</si>
  <si>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</si>
  <si>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</si>
  <si>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</si>
  <si>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</si>
  <si>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</si>
  <si>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</si>
  <si>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</si>
  <si>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</si>
  <si>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</si>
  <si>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</si>
  <si>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</si>
  <si>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</si>
  <si>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</si>
  <si>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</si>
  <si>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</si>
  <si>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</si>
  <si>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</si>
  <si>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</si>
  <si>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</si>
  <si>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</si>
  <si>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</si>
  <si>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</si>
  <si>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</si>
  <si>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</si>
  <si>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</si>
  <si>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</si>
  <si>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</si>
  <si>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</si>
  <si>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</si>
  <si>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</si>
  <si>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</si>
  <si>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</si>
  <si>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</si>
  <si>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</si>
  <si>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</si>
  <si>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</si>
  <si>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</si>
  <si>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</si>
  <si>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</si>
  <si>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</si>
  <si>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</si>
  <si>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</si>
  <si>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</si>
  <si>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</si>
  <si>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</si>
  <si>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</si>
  <si>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</si>
  <si>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</si>
  <si>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</si>
  <si>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</si>
  <si>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</si>
  <si>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</si>
  <si>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</si>
  <si>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</si>
  <si>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</si>
  <si>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</si>
  <si>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</si>
  <si>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</si>
  <si>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</si>
  <si>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</si>
  <si>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</si>
  <si>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</si>
  <si>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</si>
  <si>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</si>
  <si>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</si>
  <si>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</si>
  <si>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</si>
  <si>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</si>
  <si>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</si>
  <si>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</si>
  <si>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</si>
  <si>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</si>
  <si>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</si>
  <si>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</si>
  <si>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</si>
  <si>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</si>
  <si>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</si>
  <si>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</si>
  <si>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</si>
  <si>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</si>
  <si>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</si>
  <si>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</si>
  <si>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</si>
  <si>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</si>
  <si>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</si>
  <si>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</si>
  <si>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</si>
  <si>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</si>
  <si>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</si>
  <si>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</si>
  <si>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</si>
  <si>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</si>
  <si>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</si>
  <si>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</si>
  <si>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</si>
  <si>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</si>
  <si>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</si>
  <si>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</si>
  <si>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</si>
  <si>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</si>
  <si>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</si>
  <si>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</si>
  <si>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</si>
  <si>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</si>
  <si>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</si>
  <si>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</si>
  <si>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</si>
  <si>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</si>
  <si>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</si>
  <si>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</si>
  <si>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</si>
  <si>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</si>
  <si>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</si>
  <si>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</si>
  <si>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</si>
  <si>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</si>
  <si>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</si>
  <si>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</si>
  <si>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</si>
  <si>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</si>
  <si>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</si>
  <si>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</si>
  <si>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</si>
  <si>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</si>
  <si>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</si>
  <si>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</si>
  <si>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</si>
  <si>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</si>
  <si>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</si>
  <si>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</si>
  <si>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</si>
  <si>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</si>
  <si>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</si>
  <si>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</si>
  <si>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</si>
  <si>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</si>
  <si>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</si>
  <si>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</si>
  <si>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</si>
  <si>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</si>
  <si>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</si>
  <si>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</si>
  <si>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</si>
  <si>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</si>
  <si>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</si>
  <si>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</si>
  <si>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</si>
  <si>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</si>
  <si>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</si>
  <si>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</si>
  <si>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</si>
  <si>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</si>
  <si>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</si>
  <si>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</si>
  <si>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</si>
  <si>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</si>
  <si>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</si>
  <si>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</si>
  <si>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</si>
  <si>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</si>
  <si>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</si>
  <si>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</si>
  <si>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</si>
  <si>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</si>
  <si>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</si>
  <si>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</si>
  <si>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</si>
  <si>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</si>
  <si>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</si>
  <si>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</si>
  <si>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</si>
  <si>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</si>
  <si>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</si>
  <si>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</si>
  <si>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</si>
  <si>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</si>
  <si>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</si>
  <si>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</si>
  <si>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</si>
  <si>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</si>
  <si>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</si>
  <si>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</si>
  <si>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</si>
  <si>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</si>
  <si>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</si>
  <si>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</si>
  <si>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</si>
  <si>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</si>
  <si>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</si>
  <si>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</si>
  <si>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</si>
  <si>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</si>
  <si>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</si>
  <si>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</si>
  <si>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</si>
  <si>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</si>
  <si>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</si>
  <si>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</si>
  <si>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</si>
  <si>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</si>
  <si>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</si>
  <si>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</si>
  <si>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</si>
  <si>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</si>
  <si>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</si>
  <si>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</si>
  <si>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</si>
  <si>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</si>
  <si>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</si>
  <si>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</si>
  <si>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</si>
  <si>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</si>
  <si>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</si>
  <si>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</si>
  <si>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</si>
  <si>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</si>
  <si>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</si>
  <si>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</si>
  <si>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</si>
  <si>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</si>
  <si>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</si>
  <si>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</si>
  <si>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</si>
  <si>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</si>
  <si>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</si>
  <si>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</si>
  <si>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</si>
  <si>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</si>
  <si>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</si>
  <si>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</si>
  <si>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</si>
  <si>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</si>
  <si>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</si>
  <si>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</si>
  <si>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</si>
  <si>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</si>
  <si>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</si>
  <si>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</si>
  <si>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</si>
  <si>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</si>
  <si>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</si>
  <si>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</si>
  <si>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</si>
  <si>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</si>
  <si>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</si>
  <si>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</si>
  <si>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</si>
  <si>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</si>
  <si>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</si>
  <si>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</si>
  <si>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</si>
  <si>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</si>
  <si>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</si>
  <si>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</si>
  <si>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</si>
  <si>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</si>
  <si>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</si>
  <si>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</si>
  <si>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</si>
  <si>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</si>
  <si>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</si>
  <si>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</si>
  <si>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</si>
  <si>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</si>
  <si>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</si>
  <si>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</si>
  <si>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</si>
  <si>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</si>
  <si>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</si>
  <si>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</si>
  <si>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</si>
  <si>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</si>
  <si>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</si>
  <si>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</si>
  <si>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</si>
  <si>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</si>
  <si>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</si>
  <si>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</si>
  <si>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</si>
  <si>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</si>
  <si>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</si>
  <si>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</si>
  <si>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</si>
  <si>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</si>
  <si>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</si>
  <si>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</si>
  <si>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</si>
  <si>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</si>
  <si>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</si>
  <si>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</si>
  <si>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</si>
  <si>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</si>
  <si>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</si>
  <si>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</si>
  <si>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</si>
  <si>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</si>
  <si>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</si>
  <si>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</si>
  <si>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</si>
  <si>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</si>
  <si>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</si>
  <si>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</si>
  <si>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</si>
  <si>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</si>
  <si>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</si>
  <si>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</si>
  <si>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</si>
  <si>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</si>
  <si>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</si>
  <si>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</si>
  <si>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</si>
  <si>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</si>
  <si>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</si>
  <si>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</si>
  <si>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</si>
  <si>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</si>
  <si>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</si>
  <si>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</si>
  <si>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</si>
  <si>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</si>
  <si>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</si>
  <si>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</si>
  <si>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</si>
  <si>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</si>
  <si>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</si>
  <si>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</si>
  <si>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</si>
  <si>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</si>
  <si>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</si>
  <si>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</si>
  <si>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</si>
  <si>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</si>
  <si>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</si>
  <si>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</si>
  <si>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</si>
  <si>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</si>
  <si>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</si>
  <si>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</si>
  <si>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</si>
  <si>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</si>
  <si>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</si>
  <si>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</si>
  <si>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</si>
  <si>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</si>
  <si>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</si>
  <si>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</si>
  <si>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</si>
  <si>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</si>
  <si>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</si>
  <si>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</si>
  <si>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</si>
  <si>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</si>
  <si>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</si>
  <si>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</si>
  <si>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</si>
  <si>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</si>
  <si>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</si>
  <si>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</si>
  <si>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</si>
  <si>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</si>
  <si>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</si>
  <si>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</si>
  <si>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</si>
  <si>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</si>
  <si>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</si>
  <si>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</si>
  <si>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</si>
  <si>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</si>
  <si>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</si>
  <si>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</si>
  <si>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</si>
  <si>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</si>
  <si>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</si>
  <si>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</si>
  <si>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</si>
  <si>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</si>
  <si>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</si>
  <si>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</si>
  <si>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</si>
  <si>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</si>
  <si>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</si>
  <si>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</si>
  <si>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</si>
  <si>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</si>
  <si>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</si>
  <si>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</si>
  <si>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</si>
  <si>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</si>
  <si>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</si>
  <si>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</si>
  <si>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</si>
  <si>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</si>
  <si>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</si>
  <si>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</si>
  <si>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</si>
  <si>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</si>
  <si>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</si>
  <si>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</si>
  <si>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</si>
  <si>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</si>
  <si>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</si>
  <si>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</si>
  <si>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</si>
  <si>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</si>
  <si>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</si>
  <si>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</si>
  <si>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</si>
  <si>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</si>
  <si>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</si>
  <si>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</si>
  <si>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</si>
  <si>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</si>
  <si>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</si>
  <si>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</si>
  <si>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</si>
  <si>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</si>
  <si>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</si>
  <si>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</si>
  <si>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</si>
  <si>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</si>
  <si>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</si>
  <si>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</si>
  <si>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</si>
  <si>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</si>
  <si>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</si>
  <si>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</si>
  <si>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</si>
  <si>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</si>
  <si>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</si>
  <si>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</si>
  <si>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</si>
  <si>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</si>
  <si>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</si>
  <si>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</si>
  <si>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</si>
  <si>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</si>
  <si>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</si>
  <si>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</si>
  <si>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</si>
  <si>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</si>
  <si>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</si>
  <si>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</si>
  <si>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</si>
  <si>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</si>
  <si>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</si>
  <si>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</si>
  <si>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</si>
  <si>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</si>
  <si>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</si>
  <si>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</si>
  <si>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</si>
  <si>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</si>
  <si>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</si>
  <si>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</si>
  <si>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</si>
  <si>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</si>
  <si>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</si>
  <si>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</si>
  <si>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</si>
  <si>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</si>
  <si>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</si>
  <si>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</si>
  <si>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</si>
  <si>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</si>
  <si>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</si>
  <si>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</si>
  <si>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</si>
  <si>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</si>
  <si>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</si>
  <si>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</si>
  <si>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</si>
  <si>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</si>
  <si>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</si>
  <si>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</si>
  <si>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</si>
  <si>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</si>
  <si>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</si>
  <si>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</si>
  <si>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</si>
  <si>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</si>
  <si>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</si>
  <si>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</si>
  <si>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</si>
  <si>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</si>
  <si>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</si>
  <si>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</si>
  <si>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</si>
  <si>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</si>
  <si>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</si>
  <si>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</si>
  <si>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</si>
  <si>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</si>
  <si>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</si>
  <si>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</si>
  <si>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</si>
  <si>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</si>
  <si>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</si>
  <si>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</si>
  <si>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</si>
  <si>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</si>
  <si>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</si>
  <si>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</si>
  <si>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</si>
  <si>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</si>
  <si>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</si>
  <si>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</si>
  <si>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</si>
  <si>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</si>
  <si>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</si>
  <si>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</si>
  <si>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</si>
  <si>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</si>
  <si>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</si>
  <si>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</si>
  <si>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</si>
  <si>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</si>
  <si>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</si>
  <si>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</si>
  <si>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</si>
  <si>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</si>
  <si>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</si>
  <si>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</si>
  <si>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</si>
  <si>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</si>
  <si>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</si>
  <si>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</si>
  <si>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</si>
  <si>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</si>
  <si>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</si>
  <si>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</si>
  <si>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</si>
  <si>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</si>
  <si>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</si>
  <si>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</si>
  <si>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</si>
  <si>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</si>
  <si>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</si>
  <si>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</si>
  <si>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</si>
  <si>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</si>
  <si>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</si>
  <si>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</si>
  <si>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</si>
  <si>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</si>
  <si>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</si>
  <si>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</si>
  <si>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</si>
  <si>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</si>
  <si>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</si>
  <si>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</si>
  <si>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</si>
  <si>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</si>
  <si>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</si>
  <si>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</si>
  <si>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</si>
  <si>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</si>
  <si>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</si>
  <si>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</si>
  <si>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</si>
  <si>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</si>
  <si>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</si>
  <si>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</si>
  <si>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</si>
  <si>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</si>
  <si>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</si>
  <si>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</si>
  <si>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</si>
  <si>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</si>
  <si>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</si>
  <si>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</si>
  <si>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</si>
  <si>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</si>
  <si>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</si>
  <si>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</si>
  <si>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</si>
  <si>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</si>
  <si>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</si>
  <si>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</si>
  <si>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</si>
  <si>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</si>
  <si>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</si>
  <si>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</si>
  <si>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</si>
  <si>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</si>
  <si>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</si>
  <si>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</si>
  <si>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</si>
  <si>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</si>
  <si>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</si>
  <si>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</si>
  <si>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</si>
  <si>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</si>
  <si>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</si>
  <si>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</si>
  <si>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</si>
  <si>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</si>
  <si>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</si>
  <si>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</si>
  <si>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</si>
  <si>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</si>
  <si>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</si>
  <si>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</si>
  <si>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</si>
  <si>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</si>
  <si>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</si>
  <si>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</si>
  <si>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</si>
  <si>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</si>
  <si>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</si>
  <si>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</si>
  <si>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</si>
  <si>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</si>
  <si>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</si>
  <si>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</si>
  <si>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</si>
  <si>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</si>
  <si>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</si>
  <si>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</si>
  <si>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</si>
  <si>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</si>
  <si>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</si>
  <si>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</si>
  <si>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</si>
  <si>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</si>
  <si>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</si>
  <si>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</si>
  <si>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</si>
  <si>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</si>
  <si>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</si>
  <si>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</si>
  <si>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</si>
  <si>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</si>
  <si>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</si>
  <si>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</si>
  <si>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</si>
  <si>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</si>
  <si>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</si>
  <si>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</si>
  <si>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</si>
  <si>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</si>
  <si>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</si>
  <si>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</si>
  <si>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</si>
  <si>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</si>
  <si>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</si>
  <si>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</si>
  <si>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</si>
  <si>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</si>
  <si>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</si>
  <si>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</si>
  <si>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</si>
  <si>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</si>
  <si>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</si>
  <si>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</si>
  <si>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</si>
  <si>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</si>
  <si>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</si>
  <si>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</si>
  <si>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</si>
  <si>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</si>
  <si>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</si>
  <si>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</si>
  <si>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</si>
  <si>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</si>
  <si>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</si>
  <si>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</si>
  <si>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</si>
  <si>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</si>
  <si>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</si>
  <si>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</si>
  <si>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</si>
  <si>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</si>
  <si>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</si>
  <si>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</si>
  <si>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</si>
  <si>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</si>
  <si>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</si>
  <si>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</si>
  <si>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</si>
  <si>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</si>
  <si>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</si>
  <si>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</si>
  <si>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</si>
  <si>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</si>
  <si>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</si>
  <si>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</si>
  <si>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</si>
  <si>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</si>
  <si>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</si>
  <si>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</si>
  <si>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</si>
  <si>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</si>
  <si>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</si>
  <si>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</si>
  <si>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</si>
  <si>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</si>
  <si>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</si>
  <si>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</si>
  <si>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</si>
  <si>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</si>
  <si>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</si>
  <si>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</si>
  <si>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</si>
  <si>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</si>
  <si>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</si>
  <si>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</si>
  <si>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</si>
  <si>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</si>
  <si>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</si>
  <si>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</si>
  <si>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</si>
  <si>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</si>
  <si>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</si>
  <si>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</si>
  <si>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</si>
  <si>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</si>
  <si>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</si>
  <si>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</si>
  <si>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</si>
  <si>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</si>
  <si>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</si>
  <si>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</si>
  <si>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</si>
  <si>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</si>
  <si>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</si>
  <si>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</si>
  <si>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</si>
  <si>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</si>
  <si>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</si>
  <si>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</si>
  <si>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</si>
  <si>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</si>
  <si>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</si>
  <si>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</si>
  <si>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</si>
  <si>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</si>
  <si>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</si>
  <si>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</si>
  <si>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</si>
  <si>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</si>
  <si>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</si>
  <si>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</si>
  <si>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</si>
  <si>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</si>
  <si>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</si>
  <si>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</si>
  <si>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</si>
  <si>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</si>
  <si>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</si>
  <si>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</si>
  <si>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</si>
  <si>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</si>
  <si>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</si>
  <si>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</si>
  <si>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</si>
  <si>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</si>
  <si>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</si>
  <si>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</si>
  <si>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</si>
  <si>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</si>
  <si>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</si>
  <si>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</si>
  <si>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</si>
  <si>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</si>
  <si>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</si>
  <si>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</si>
  <si>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</si>
  <si>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</si>
  <si>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</si>
  <si>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</si>
  <si>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</si>
  <si>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</si>
  <si>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</si>
  <si>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</si>
  <si>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</si>
  <si>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</si>
  <si>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</si>
  <si>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</si>
  <si>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</si>
  <si>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</si>
  <si>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</si>
  <si>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</si>
  <si>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</si>
  <si>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</si>
  <si>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</si>
  <si>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</si>
  <si>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</si>
  <si>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</si>
  <si>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</si>
  <si>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</si>
  <si>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</si>
  <si>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</si>
  <si>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</si>
  <si>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</si>
  <si>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</si>
  <si>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</si>
  <si>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</si>
  <si>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</si>
  <si>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</si>
  <si>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</si>
  <si>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</si>
  <si>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</si>
  <si>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</si>
  <si>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</si>
  <si>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</si>
  <si>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</si>
  <si>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</si>
  <si>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</si>
  <si>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</si>
  <si>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</si>
  <si>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</si>
  <si>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</si>
  <si>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</si>
  <si>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</si>
  <si>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</si>
  <si>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</si>
  <si>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</si>
  <si>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</si>
  <si>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</si>
  <si>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</si>
  <si>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</si>
  <si>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</si>
  <si>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</si>
  <si>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</si>
  <si>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</si>
  <si>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</si>
  <si>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</si>
  <si>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</si>
  <si>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</si>
  <si>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</si>
  <si>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</si>
  <si>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</si>
  <si>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</si>
  <si>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</si>
  <si>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</si>
  <si>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</si>
  <si>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</si>
  <si>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</si>
  <si>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</si>
  <si>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</si>
  <si>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</si>
  <si>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</si>
  <si>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</si>
  <si>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</si>
  <si>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</si>
  <si>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</si>
  <si>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</si>
  <si>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</si>
  <si>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</si>
  <si>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</si>
  <si>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</si>
  <si>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</si>
  <si>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</si>
  <si>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</si>
  <si>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</si>
  <si>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</si>
  <si>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</si>
  <si>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</si>
  <si>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</si>
  <si>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</si>
  <si>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</si>
  <si>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</si>
  <si>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</si>
  <si>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</si>
  <si>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</si>
  <si>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</si>
  <si>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</si>
  <si>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</si>
  <si>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</si>
  <si>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</si>
  <si>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</si>
  <si>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</si>
  <si>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</si>
  <si>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</si>
  <si>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</si>
  <si>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</si>
  <si>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</si>
  <si>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</si>
  <si>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</si>
  <si>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</si>
  <si>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</si>
  <si>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</si>
  <si>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</si>
  <si>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</si>
  <si>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</si>
  <si>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</si>
  <si>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</si>
  <si>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</si>
  <si>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</si>
  <si>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</si>
  <si>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</si>
  <si>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</si>
  <si>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</si>
  <si>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</si>
  <si>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</si>
  <si>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</si>
  <si>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</si>
  <si>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</si>
  <si>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</si>
  <si>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</si>
  <si>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1788</t>
  </si>
  <si>
    <t>杏昌(1788)</t>
  </si>
  <si>
    <t>杏昌（1788）</t>
  </si>
  <si>
    <t>1788杏昌</t>
  </si>
  <si>
    <t xml:space="preserve">△2.0 </t>
  </si>
  <si>
    <t xml:space="preserve">杏昌(1788)      市價：103.5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</si>
</sst>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0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  <xf numFmtId="0" fontId="59" fillId="0" borderId="1" xfId="0" applyNumberFormat="1" applyFont="1" applyFill="1" applyBorder="1" applyAlignment="1">
      <alignment horizontal="right" vertical="center"/>
    </xf>
    <xf numFmtId="0" fontId="26" fillId="0" borderId="2" xfId="0" applyFont="1" applyFill="1" applyBorder="1" applyAlignment="1">
      <alignment horizontal="center" vertical="center"/>
    </xf>
    <xf numFmtId="1" fontId="3" fillId="0" borderId="2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741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696</c:v>
                </c:pt>
                <c:pt idx="1">
                  <c:v>640</c:v>
                </c:pt>
                <c:pt idx="2">
                  <c:v>685</c:v>
                </c:pt>
                <c:pt idx="3">
                  <c:v>675</c:v>
                </c:pt>
                <c:pt idx="4">
                  <c:v>692</c:v>
                </c:pt>
                <c:pt idx="5">
                  <c:v>629</c:v>
                </c:pt>
                <c:pt idx="6">
                  <c:v>689</c:v>
                </c:pt>
                <c:pt idx="7">
                  <c:v>676</c:v>
                </c:pt>
              </c:numCache>
            </c:numRef>
          </c:val>
        </c:ser>
        <c:gapWidth val="125"/>
        <c:axId val="54628352"/>
        <c:axId val="54629888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0.22844827586206898</c:v>
                </c:pt>
                <c:pt idx="1">
                  <c:v>0.234375</c:v>
                </c:pt>
                <c:pt idx="2">
                  <c:v>0.23211678832116789</c:v>
                </c:pt>
                <c:pt idx="3">
                  <c:v>0.22814814814814816</c:v>
                </c:pt>
                <c:pt idx="4">
                  <c:v>0.21242774566473988</c:v>
                </c:pt>
                <c:pt idx="5">
                  <c:v>0.22734499205087441</c:v>
                </c:pt>
                <c:pt idx="6">
                  <c:v>0.22206095791001451</c:v>
                </c:pt>
                <c:pt idx="7">
                  <c:v>0.21597633136094674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7.7586206896551727E-2</c:v>
                </c:pt>
                <c:pt idx="1">
                  <c:v>7.6562500000000006E-2</c:v>
                </c:pt>
                <c:pt idx="2">
                  <c:v>8.0291970802919707E-2</c:v>
                </c:pt>
                <c:pt idx="3">
                  <c:v>8.7407407407407406E-2</c:v>
                </c:pt>
                <c:pt idx="4">
                  <c:v>8.2369942196531792E-2</c:v>
                </c:pt>
                <c:pt idx="5">
                  <c:v>0.10015898251192369</c:v>
                </c:pt>
                <c:pt idx="6">
                  <c:v>7.2568940493468792E-2</c:v>
                </c:pt>
                <c:pt idx="7">
                  <c:v>7.2485207100591711E-2</c:v>
                </c:pt>
              </c:numCache>
            </c:numRef>
          </c:val>
          <c:smooth val="1"/>
        </c:ser>
        <c:marker val="1"/>
        <c:axId val="54637312"/>
        <c:axId val="54631424"/>
      </c:lineChart>
      <c:catAx>
        <c:axId val="5462835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54629888"/>
        <c:crosses val="autoZero"/>
        <c:auto val="1"/>
        <c:lblAlgn val="ctr"/>
        <c:lblOffset val="100"/>
      </c:catAx>
      <c:valAx>
        <c:axId val="5462988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54628352"/>
        <c:crosses val="autoZero"/>
        <c:crossBetween val="between"/>
      </c:valAx>
      <c:valAx>
        <c:axId val="5463142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54637312"/>
        <c:crosses val="max"/>
        <c:crossBetween val="between"/>
      </c:valAx>
      <c:catAx>
        <c:axId val="54637312"/>
        <c:scaling>
          <c:orientation val="minMax"/>
        </c:scaling>
        <c:delete val="1"/>
        <c:axPos val="b"/>
        <c:tickLblPos val="none"/>
        <c:crossAx val="5463142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36"/>
          <c:y val="6.1852578105156222E-2"/>
          <c:w val="0.73786606461091042"/>
          <c:h val="0.88229882850009722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132.8115234375</c:v>
                </c:pt>
                <c:pt idx="1">
                  <c:v>132.8115234375</c:v>
                </c:pt>
                <c:pt idx="2">
                  <c:v>125.61861313868613</c:v>
                </c:pt>
                <c:pt idx="3">
                  <c:v>130.85925925925926</c:v>
                </c:pt>
                <c:pt idx="4">
                  <c:v>128.50162572254334</c:v>
                </c:pt>
                <c:pt idx="5">
                  <c:v>138.39825119236883</c:v>
                </c:pt>
                <c:pt idx="6">
                  <c:v>125.61774310595065</c:v>
                </c:pt>
                <c:pt idx="7">
                  <c:v>130.59818786982248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62.105867346938773</c:v>
                </c:pt>
                <c:pt idx="1">
                  <c:v>62.105867346938773</c:v>
                </c:pt>
                <c:pt idx="2">
                  <c:v>59.676806083650185</c:v>
                </c:pt>
                <c:pt idx="3">
                  <c:v>63.664827255278311</c:v>
                </c:pt>
                <c:pt idx="4">
                  <c:v>62.033256880733951</c:v>
                </c:pt>
                <c:pt idx="5">
                  <c:v>73.788580246913583</c:v>
                </c:pt>
                <c:pt idx="6">
                  <c:v>69.458955223880594</c:v>
                </c:pt>
                <c:pt idx="7">
                  <c:v>74.46344339622641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96.929846938775512</c:v>
                </c:pt>
                <c:pt idx="1">
                  <c:v>96.929846938775512</c:v>
                </c:pt>
                <c:pt idx="2">
                  <c:v>90.729562737642595</c:v>
                </c:pt>
                <c:pt idx="3">
                  <c:v>93.614443378118992</c:v>
                </c:pt>
                <c:pt idx="4">
                  <c:v>87.901376146788976</c:v>
                </c:pt>
                <c:pt idx="5">
                  <c:v>98.572530864197532</c:v>
                </c:pt>
                <c:pt idx="6">
                  <c:v>87.930270522388057</c:v>
                </c:pt>
                <c:pt idx="7">
                  <c:v>94.176886792452834</c:v>
                </c:pt>
              </c:numCache>
            </c:numRef>
          </c:val>
          <c:smooth val="1"/>
        </c:ser>
        <c:marker val="1"/>
        <c:axId val="58946304"/>
        <c:axId val="58947840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85E-2"/>
                  <c:y val="-0.11629689107034592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58967552"/>
        <c:axId val="58966016"/>
      </c:lineChart>
      <c:catAx>
        <c:axId val="5894630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58947840"/>
        <c:crosses val="autoZero"/>
        <c:auto val="1"/>
        <c:lblAlgn val="ctr"/>
        <c:lblOffset val="100"/>
      </c:catAx>
      <c:valAx>
        <c:axId val="58947840"/>
        <c:scaling>
          <c:orientation val="minMax"/>
          <c:max val="167.07790143084259"/>
          <c:min val="46.741444866920148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58946304"/>
        <c:crosses val="autoZero"/>
        <c:crossBetween val="between"/>
      </c:valAx>
      <c:valAx>
        <c:axId val="5896601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58967552"/>
        <c:crosses val="max"/>
        <c:crossBetween val="between"/>
      </c:valAx>
      <c:catAx>
        <c:axId val="58967552"/>
        <c:scaling>
          <c:orientation val="minMax"/>
        </c:scaling>
        <c:delete val="1"/>
        <c:axPos val="b"/>
        <c:tickLblPos val="none"/>
        <c:crossAx val="5896601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541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90</c:v>
                </c:pt>
                <c:pt idx="1">
                  <c:v>-27</c:v>
                </c:pt>
                <c:pt idx="2">
                  <c:v>-116</c:v>
                </c:pt>
                <c:pt idx="3">
                  <c:v>128</c:v>
                </c:pt>
                <c:pt idx="4">
                  <c:v>47</c:v>
                </c:pt>
                <c:pt idx="5">
                  <c:v>-49</c:v>
                </c:pt>
                <c:pt idx="6">
                  <c:v>-58</c:v>
                </c:pt>
                <c:pt idx="7">
                  <c:v>158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81</c:v>
                </c:pt>
                <c:pt idx="1">
                  <c:v>-43</c:v>
                </c:pt>
                <c:pt idx="2">
                  <c:v>-125</c:v>
                </c:pt>
                <c:pt idx="3">
                  <c:v>114</c:v>
                </c:pt>
                <c:pt idx="4">
                  <c:v>57</c:v>
                </c:pt>
                <c:pt idx="5">
                  <c:v>-56</c:v>
                </c:pt>
                <c:pt idx="6">
                  <c:v>-62</c:v>
                </c:pt>
                <c:pt idx="7">
                  <c:v>154</c:v>
                </c:pt>
              </c:numCache>
            </c:numRef>
          </c:val>
        </c:ser>
        <c:gapWidth val="100"/>
        <c:axId val="59150336"/>
        <c:axId val="59151872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0.3697872340425532</c:v>
                </c:pt>
                <c:pt idx="1">
                  <c:v>0.31771530566711287</c:v>
                </c:pt>
                <c:pt idx="2">
                  <c:v>0.40439932318104904</c:v>
                </c:pt>
                <c:pt idx="3">
                  <c:v>0.35117204776647504</c:v>
                </c:pt>
                <c:pt idx="4">
                  <c:v>0.36594504579517068</c:v>
                </c:pt>
                <c:pt idx="5">
                  <c:v>0.34382767191383595</c:v>
                </c:pt>
                <c:pt idx="6">
                  <c:v>0.40041152263374485</c:v>
                </c:pt>
                <c:pt idx="7">
                  <c:v>0.37468460891505467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59155200"/>
        <c:axId val="59153408"/>
      </c:lineChart>
      <c:catAx>
        <c:axId val="591503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59151872"/>
        <c:crosses val="autoZero"/>
        <c:auto val="1"/>
        <c:lblAlgn val="ctr"/>
        <c:lblOffset val="100"/>
      </c:catAx>
      <c:valAx>
        <c:axId val="5915187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59150336"/>
        <c:crosses val="autoZero"/>
        <c:crossBetween val="between"/>
      </c:valAx>
      <c:valAx>
        <c:axId val="59153408"/>
        <c:scaling>
          <c:orientation val="minMax"/>
          <c:min val="-3.0000000000000016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59155200"/>
        <c:crosses val="max"/>
        <c:crossBetween val="between"/>
      </c:valAx>
      <c:catAx>
        <c:axId val="59155200"/>
        <c:scaling>
          <c:orientation val="minMax"/>
        </c:scaling>
        <c:delete val="1"/>
        <c:axPos val="b"/>
        <c:tickLblPos val="none"/>
        <c:crossAx val="5915340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53"/>
          <c:y val="6.3932132322468985E-2"/>
          <c:w val="0.74659195050210403"/>
          <c:h val="0.87328441529948275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59232256"/>
        <c:axId val="59230464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1.6666666666666667</c:v>
                </c:pt>
                <c:pt idx="1">
                  <c:v>0</c:v>
                </c:pt>
                <c:pt idx="2">
                  <c:v>0</c:v>
                </c:pt>
                <c:pt idx="3">
                  <c:v>2.1694915254237288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3.2244897959183674</c:v>
                </c:pt>
              </c:numCache>
            </c:numRef>
          </c:val>
        </c:ser>
        <c:gapWidth val="125"/>
        <c:axId val="59206656"/>
        <c:axId val="59228928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7.2022160664819951E-2</c:v>
                </c:pt>
                <c:pt idx="2">
                  <c:v>7.2022160664819951E-2</c:v>
                </c:pt>
                <c:pt idx="3">
                  <c:v>7.3722297602894615E-2</c:v>
                </c:pt>
                <c:pt idx="4">
                  <c:v>7.3235685752330221E-2</c:v>
                </c:pt>
                <c:pt idx="5">
                  <c:v>7.5168647606810149E-2</c:v>
                </c:pt>
                <c:pt idx="6">
                  <c:v>7.9930191972076792E-2</c:v>
                </c:pt>
                <c:pt idx="7">
                  <c:v>7.413676371022343E-2</c:v>
                </c:pt>
              </c:numCache>
            </c:numRef>
          </c:val>
          <c:smooth val="1"/>
        </c:ser>
        <c:marker val="1"/>
        <c:axId val="59232256"/>
        <c:axId val="59230464"/>
      </c:lineChart>
      <c:catAx>
        <c:axId val="5920665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59228928"/>
        <c:crosses val="autoZero"/>
        <c:auto val="1"/>
        <c:lblAlgn val="ctr"/>
        <c:lblOffset val="100"/>
      </c:catAx>
      <c:valAx>
        <c:axId val="59228928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59206656"/>
        <c:crosses val="autoZero"/>
        <c:crossBetween val="between"/>
      </c:valAx>
      <c:valAx>
        <c:axId val="5923046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59232256"/>
        <c:crosses val="max"/>
        <c:crossBetween val="between"/>
      </c:valAx>
      <c:catAx>
        <c:axId val="59232256"/>
        <c:scaling>
          <c:orientation val="minMax"/>
        </c:scaling>
        <c:delete val="1"/>
        <c:axPos val="b"/>
        <c:tickLblPos val="none"/>
        <c:crossAx val="5923046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55" l="0.70000000000000062" r="0.70000000000000062" t="0.75000000000000255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21"/>
          <c:y val="3.1301940054012746E-2"/>
          <c:w val="0.75824839488840401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9</c:v>
                </c:pt>
                <c:pt idx="1">
                  <c:v>16</c:v>
                </c:pt>
                <c:pt idx="2">
                  <c:v>9</c:v>
                </c:pt>
                <c:pt idx="3">
                  <c:v>14</c:v>
                </c:pt>
                <c:pt idx="4">
                  <c:v>-10</c:v>
                </c:pt>
                <c:pt idx="5">
                  <c:v>7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</c:ser>
        <c:axId val="57744768"/>
        <c:axId val="57758848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57744768"/>
        <c:axId val="57758848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1.4897579143389199E-2</c:v>
                </c:pt>
                <c:pt idx="1">
                  <c:v>1.8367346938775512E-2</c:v>
                </c:pt>
                <c:pt idx="2">
                  <c:v>1.7110266159695818E-2</c:v>
                </c:pt>
                <c:pt idx="3">
                  <c:v>1.7274472168905951E-2</c:v>
                </c:pt>
                <c:pt idx="4">
                  <c:v>1.6513761467889909E-2</c:v>
                </c:pt>
                <c:pt idx="5">
                  <c:v>1.8518518518518517E-2</c:v>
                </c:pt>
                <c:pt idx="6">
                  <c:v>1.6791044776119403E-2</c:v>
                </c:pt>
                <c:pt idx="7">
                  <c:v>1.8867924528301886E-2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1.7274472168905951E-2</c:v>
                </c:pt>
                <c:pt idx="1">
                  <c:v>1.7274472168905951E-2</c:v>
                </c:pt>
                <c:pt idx="2">
                  <c:v>1.3313609467455622E-2</c:v>
                </c:pt>
                <c:pt idx="3">
                  <c:v>1.7578125E-2</c:v>
                </c:pt>
                <c:pt idx="4">
                  <c:v>1.282051282051282E-2</c:v>
                </c:pt>
                <c:pt idx="5">
                  <c:v>1.6728624535315983E-2</c:v>
                </c:pt>
                <c:pt idx="6">
                  <c:v>1.3138686131386862E-2</c:v>
                </c:pt>
                <c:pt idx="7">
                  <c:v>1.8796992481203006E-2</c:v>
                </c:pt>
              </c:numCache>
            </c:numRef>
          </c:val>
          <c:smooth val="1"/>
        </c:ser>
        <c:marker val="1"/>
        <c:axId val="57766272"/>
        <c:axId val="57760384"/>
      </c:lineChart>
      <c:catAx>
        <c:axId val="5774476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57758848"/>
        <c:crosses val="autoZero"/>
        <c:auto val="1"/>
        <c:lblAlgn val="ctr"/>
        <c:lblOffset val="100"/>
      </c:catAx>
      <c:valAx>
        <c:axId val="5775884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57744768"/>
        <c:crosses val="autoZero"/>
        <c:crossBetween val="between"/>
      </c:valAx>
      <c:valAx>
        <c:axId val="5776038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57766272"/>
        <c:crosses val="max"/>
        <c:crossBetween val="between"/>
      </c:valAx>
      <c:catAx>
        <c:axId val="57766272"/>
        <c:scaling>
          <c:orientation val="minMax"/>
        </c:scaling>
        <c:delete val="1"/>
        <c:axPos val="b"/>
        <c:tickLblPos val="none"/>
        <c:crossAx val="5776038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101"/>
          <c:y val="5.7874579665511273E-2"/>
          <c:w val="0.74877230585669552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1.55</c:v>
                </c:pt>
                <c:pt idx="1">
                  <c:v>1.39</c:v>
                </c:pt>
                <c:pt idx="2">
                  <c:v>1.57</c:v>
                </c:pt>
                <c:pt idx="3">
                  <c:v>1.69</c:v>
                </c:pt>
                <c:pt idx="4">
                  <c:v>1.63</c:v>
                </c:pt>
                <c:pt idx="5">
                  <c:v>1.79</c:v>
                </c:pt>
                <c:pt idx="6">
                  <c:v>1.44</c:v>
                </c:pt>
                <c:pt idx="7">
                  <c:v>1.39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gapWidth val="170"/>
        <c:overlap val="100"/>
        <c:axId val="59247232"/>
        <c:axId val="59257216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0.92957746478873238</c:v>
                </c:pt>
                <c:pt idx="1">
                  <c:v>1</c:v>
                </c:pt>
                <c:pt idx="2">
                  <c:v>0.8970588235294118</c:v>
                </c:pt>
                <c:pt idx="3">
                  <c:v>0.875</c:v>
                </c:pt>
                <c:pt idx="4">
                  <c:v>0.97058823529411764</c:v>
                </c:pt>
                <c:pt idx="5">
                  <c:v>0.72602739726027399</c:v>
                </c:pt>
                <c:pt idx="6">
                  <c:v>0.875</c:v>
                </c:pt>
                <c:pt idx="7">
                  <c:v>1.1016949152542372</c:v>
                </c:pt>
              </c:numCache>
            </c:numRef>
          </c:val>
          <c:smooth val="1"/>
        </c:ser>
        <c:marker val="1"/>
        <c:axId val="59260288"/>
        <c:axId val="59258752"/>
      </c:lineChart>
      <c:catAx>
        <c:axId val="5924723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59257216"/>
        <c:crosses val="autoZero"/>
        <c:auto val="1"/>
        <c:lblAlgn val="ctr"/>
        <c:lblOffset val="100"/>
      </c:catAx>
      <c:valAx>
        <c:axId val="5925721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59247232"/>
        <c:crosses val="autoZero"/>
        <c:crossBetween val="between"/>
      </c:valAx>
      <c:valAx>
        <c:axId val="59258752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59260288"/>
        <c:crosses val="max"/>
        <c:crossBetween val="between"/>
      </c:valAx>
      <c:catAx>
        <c:axId val="59260288"/>
        <c:scaling>
          <c:orientation val="minMax"/>
        </c:scaling>
        <c:delete val="1"/>
        <c:axPos val="b"/>
        <c:tickLblPos val="none"/>
        <c:crossAx val="5925875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37"/>
          <c:w val="0.88395908009621549"/>
          <c:h val="0.7595405266968468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696</c:v>
                </c:pt>
                <c:pt idx="1">
                  <c:v>640</c:v>
                </c:pt>
                <c:pt idx="2">
                  <c:v>685</c:v>
                </c:pt>
                <c:pt idx="3">
                  <c:v>675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692</c:v>
                </c:pt>
                <c:pt idx="1">
                  <c:v>629</c:v>
                </c:pt>
                <c:pt idx="2">
                  <c:v>689</c:v>
                </c:pt>
                <c:pt idx="3">
                  <c:v>676</c:v>
                </c:pt>
              </c:numCache>
            </c:numRef>
          </c:val>
        </c:ser>
        <c:gapWidth val="65"/>
        <c:axId val="59280384"/>
        <c:axId val="59306752"/>
      </c:barChart>
      <c:catAx>
        <c:axId val="59280384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306752"/>
        <c:crosses val="autoZero"/>
        <c:auto val="1"/>
        <c:lblAlgn val="ctr"/>
        <c:lblOffset val="100"/>
      </c:catAx>
      <c:valAx>
        <c:axId val="59306752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592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52"/>
          <c:w val="0.90049010022061926"/>
          <c:h val="0.70987395863660663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194.91739078443877</c:v>
                </c:pt>
                <c:pt idx="1">
                  <c:v>194.91739078443877</c:v>
                </c:pt>
                <c:pt idx="2">
                  <c:v>185.29541922233631</c:v>
                </c:pt>
                <c:pt idx="3">
                  <c:v>194.52408651453757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190.53488260327728</c:v>
                </c:pt>
                <c:pt idx="1">
                  <c:v>212.1868314392824</c:v>
                </c:pt>
                <c:pt idx="2">
                  <c:v>195.07669832983123</c:v>
                </c:pt>
                <c:pt idx="3">
                  <c:v>205.06163126604889</c:v>
                </c:pt>
              </c:numCache>
            </c:numRef>
          </c:val>
          <c:smooth val="1"/>
        </c:ser>
        <c:dLbls>
          <c:showVal val="1"/>
        </c:dLbls>
        <c:marker val="1"/>
        <c:axId val="59345152"/>
        <c:axId val="59355136"/>
      </c:lineChart>
      <c:catAx>
        <c:axId val="59345152"/>
        <c:scaling>
          <c:orientation val="minMax"/>
        </c:scaling>
        <c:delete val="1"/>
        <c:axPos val="b"/>
        <c:majorTickMark val="none"/>
        <c:tickLblPos val="none"/>
        <c:crossAx val="59355136"/>
        <c:crosses val="autoZero"/>
        <c:auto val="1"/>
        <c:lblAlgn val="ctr"/>
        <c:lblOffset val="100"/>
      </c:catAx>
      <c:valAx>
        <c:axId val="59355136"/>
        <c:scaling>
          <c:orientation val="minMax"/>
          <c:max val="255.62419772713886"/>
          <c:min val="147.23633537786904"/>
        </c:scaling>
        <c:delete val="1"/>
        <c:axPos val="l"/>
        <c:numFmt formatCode="#,##0;[Red]\-#,##0" sourceLinked="1"/>
        <c:majorTickMark val="none"/>
        <c:tickLblPos val="none"/>
        <c:crossAx val="5934515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532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131592576"/>
        <c:axId val="131594112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123077760"/>
        <c:axId val="131595648"/>
      </c:lineChart>
      <c:dateAx>
        <c:axId val="13159257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1594112"/>
        <c:crosses val="autoZero"/>
        <c:lblOffset val="100"/>
        <c:baseTimeUnit val="days"/>
      </c:dateAx>
      <c:valAx>
        <c:axId val="131594112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1592576"/>
        <c:crosses val="autoZero"/>
        <c:crossBetween val="between"/>
      </c:valAx>
      <c:valAx>
        <c:axId val="131595648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3077760"/>
        <c:crosses val="max"/>
        <c:crossBetween val="between"/>
      </c:valAx>
      <c:dateAx>
        <c:axId val="123077760"/>
        <c:scaling>
          <c:orientation val="minMax"/>
        </c:scaling>
        <c:delete val="1"/>
        <c:axPos val="b"/>
        <c:numFmt formatCode="General" sourceLinked="1"/>
        <c:tickLblPos val="none"/>
        <c:crossAx val="131595648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524E-2"/>
          <c:y val="7.6339457567804025E-2"/>
          <c:w val="0.91226332455746395"/>
          <c:h val="0.76162697844589555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123102720"/>
        <c:axId val="123104256"/>
      </c:lineChart>
      <c:catAx>
        <c:axId val="12310272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3104256"/>
        <c:crosses val="autoZero"/>
        <c:auto val="1"/>
        <c:lblAlgn val="ctr"/>
        <c:lblOffset val="100"/>
      </c:catAx>
      <c:valAx>
        <c:axId val="123104256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310272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594E-2"/>
          <c:y val="7.6339457567804025E-2"/>
          <c:w val="0.91226344792658953"/>
          <c:h val="0.761626978445896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131601152"/>
        <c:axId val="131602688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131610112"/>
        <c:axId val="131608576"/>
      </c:lineChart>
      <c:catAx>
        <c:axId val="13160115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1602688"/>
        <c:crosses val="autoZero"/>
        <c:auto val="1"/>
        <c:lblAlgn val="ctr"/>
        <c:lblOffset val="100"/>
      </c:catAx>
      <c:valAx>
        <c:axId val="131602688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1601152"/>
        <c:crosses val="autoZero"/>
        <c:crossBetween val="between"/>
      </c:valAx>
      <c:valAx>
        <c:axId val="131608576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31610112"/>
        <c:crosses val="max"/>
        <c:crossBetween val="between"/>
      </c:valAx>
      <c:catAx>
        <c:axId val="131610112"/>
        <c:scaling>
          <c:orientation val="minMax"/>
        </c:scaling>
        <c:delete val="1"/>
        <c:axPos val="b"/>
        <c:tickLblPos val="none"/>
        <c:crossAx val="131608576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644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131655552"/>
        <c:axId val="131657088"/>
      </c:barChart>
      <c:catAx>
        <c:axId val="13165555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1657088"/>
        <c:crosses val="autoZero"/>
        <c:auto val="1"/>
        <c:lblAlgn val="ctr"/>
        <c:lblOffset val="100"/>
      </c:catAx>
      <c:valAx>
        <c:axId val="131657088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165555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245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132304896"/>
        <c:axId val="132306432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132313856"/>
        <c:axId val="132307968"/>
      </c:lineChart>
      <c:catAx>
        <c:axId val="13230489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2306432"/>
        <c:crosses val="autoZero"/>
        <c:auto val="1"/>
        <c:lblAlgn val="ctr"/>
        <c:lblOffset val="100"/>
      </c:catAx>
      <c:valAx>
        <c:axId val="132306432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2304896"/>
        <c:crosses val="autoZero"/>
        <c:crossBetween val="between"/>
      </c:valAx>
      <c:valAx>
        <c:axId val="132307968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32313856"/>
        <c:crosses val="max"/>
        <c:crossBetween val="between"/>
      </c:valAx>
      <c:catAx>
        <c:axId val="132313856"/>
        <c:scaling>
          <c:orientation val="minMax"/>
        </c:scaling>
        <c:delete val="1"/>
        <c:axPos val="b"/>
        <c:tickLblPos val="none"/>
        <c:crossAx val="132307968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36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132375296"/>
        <c:axId val="132376832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132384256"/>
        <c:axId val="132382720"/>
      </c:lineChart>
      <c:catAx>
        <c:axId val="13237529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2376832"/>
        <c:crosses val="autoZero"/>
        <c:auto val="1"/>
        <c:lblAlgn val="ctr"/>
        <c:lblOffset val="100"/>
      </c:catAx>
      <c:valAx>
        <c:axId val="132376832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2375296"/>
        <c:crosses val="autoZero"/>
        <c:crossBetween val="between"/>
      </c:valAx>
      <c:valAx>
        <c:axId val="132382720"/>
        <c:scaling>
          <c:orientation val="minMax"/>
          <c:max val="0.42461380020597383"/>
          <c:min val="1.7723880597014945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32384256"/>
        <c:crosses val="max"/>
        <c:crossBetween val="between"/>
      </c:valAx>
      <c:catAx>
        <c:axId val="132384256"/>
        <c:scaling>
          <c:orientation val="minMax"/>
        </c:scaling>
        <c:delete val="1"/>
        <c:axPos val="b"/>
        <c:tickLblPos val="none"/>
        <c:crossAx val="132382720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1788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1788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1788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1788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1788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42377</v>
      </c>
      <c r="C2" s="145">
        <f ca="1">B2-WEEKDAY(TODAY())-1</f>
        <v>42370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42363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42356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42349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42342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42335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69" r:id="rId3" name="CommandButton1"/>
    <control shapeId="32771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2000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2001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2002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zoomScale="70" zoomScaleNormal="7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Q1" sqref="Q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82" t="s">
        <v>2057</v>
      </c>
      <c r="B1" s="383" t="s">
        <v>2062</v>
      </c>
      <c r="C1" s="384">
        <v>19</v>
      </c>
      <c r="D1" s="1"/>
      <c r="E1" s="1"/>
      <c r="F1" s="1"/>
      <c r="G1" s="13"/>
      <c r="H1" s="1"/>
      <c r="I1" s="1"/>
      <c r="J1" s="2"/>
      <c r="M1" s="8"/>
      <c r="N1" s="183"/>
      <c r="O1" s="385">
        <v>0</v>
      </c>
      <c r="P1" s="209">
        <v>0</v>
      </c>
      <c r="Q1" s="209">
        <v>0</v>
      </c>
      <c r="R1" s="209">
        <v>1</v>
      </c>
      <c r="S1" s="386">
        <v>0</v>
      </c>
      <c r="T1" s="387" t="str">
        <f>"    合計 " &amp; SUM(O1:S1) &amp; " 分    "</f>
        <v xml:space="preserve">    合計 1 分    </v>
      </c>
      <c r="U1" s="388"/>
      <c r="V1" s="389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18" t="s">
        <v>1890</v>
      </c>
      <c r="G2" s="318"/>
      <c r="H2" s="318"/>
      <c r="I2" s="318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25" t="s">
        <v>9</v>
      </c>
      <c r="X2" s="325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696</v>
      </c>
      <c r="P3" s="216">
        <f>VLOOKUP("營業收入淨額",$B$40:$L$500,8,0)</f>
        <v>640</v>
      </c>
      <c r="Q3" s="216">
        <f>VLOOKUP("營業收入淨額",$B$40:$L$500,7,0)</f>
        <v>685</v>
      </c>
      <c r="R3" s="216">
        <f>VLOOKUP("營業收入淨額",$B$40:$L$500,6,0)</f>
        <v>675</v>
      </c>
      <c r="S3" s="216">
        <f>VLOOKUP("營業收入淨額",$B$40:$L$500,5,0)</f>
        <v>692</v>
      </c>
      <c r="T3" s="216">
        <f>VLOOKUP("營業收入淨額",$B$40:$L$500,4,0)</f>
        <v>629</v>
      </c>
      <c r="U3" s="216">
        <f>VLOOKUP("營業收入淨額",$B$40:$L$500,3,0)</f>
        <v>689</v>
      </c>
      <c r="V3" s="217">
        <f>VLOOKUP("營業收入淨額",$B$40:$L$500,2,0)</f>
        <v>676</v>
      </c>
      <c r="W3" s="174">
        <f>MAX(O3:V3)</f>
        <v>696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27"/>
      <c r="G4" s="327"/>
      <c r="H4" s="327"/>
      <c r="I4" s="327"/>
      <c r="J4" s="6"/>
      <c r="K4" s="8"/>
      <c r="L4" s="8"/>
      <c r="M4" s="8"/>
      <c r="N4" s="184" t="s">
        <v>11</v>
      </c>
      <c r="O4" s="215">
        <f>VLOOKUP("營業成本",$B$40:$L$500,9,0)</f>
        <v>537</v>
      </c>
      <c r="P4" s="216">
        <f>VLOOKUP("營業成本",$B$40:$L$500,8,0)</f>
        <v>490</v>
      </c>
      <c r="Q4" s="216">
        <f>VLOOKUP("營業成本",$B$40:$L$500,7,0)</f>
        <v>526</v>
      </c>
      <c r="R4" s="216">
        <f>VLOOKUP("營業成本",$B$40:$L$500,6,0)</f>
        <v>521</v>
      </c>
      <c r="S4" s="216">
        <f>VLOOKUP("營業成本",$B$40:$L$500,5,0)</f>
        <v>545</v>
      </c>
      <c r="T4" s="216">
        <f>VLOOKUP("營業成本",$B$40:$L$500,4,0)</f>
        <v>486</v>
      </c>
      <c r="U4" s="216">
        <f>VLOOKUP("營業成本",$B$40:$L$500,3,0)</f>
        <v>536</v>
      </c>
      <c r="V4" s="217">
        <f>VLOOKUP("營業成本",$B$40:$L$500,2,0)</f>
        <v>530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66</v>
      </c>
      <c r="P5" s="216">
        <f>VLOOKUP("營業利益",$B$40:$L$500,8,0)</f>
        <v>59</v>
      </c>
      <c r="Q5" s="216">
        <f>VLOOKUP("營業利益",$B$40:$L$500,7,0)</f>
        <v>61</v>
      </c>
      <c r="R5" s="216">
        <f>VLOOKUP("營業利益",$B$40:$L$500,6,0)</f>
        <v>63</v>
      </c>
      <c r="S5" s="216">
        <f>VLOOKUP("營業利益",$B$40:$L$500,5,0)</f>
        <v>66</v>
      </c>
      <c r="T5" s="216">
        <f>VLOOKUP("營業利益",$B$40:$L$500,4,0)</f>
        <v>53</v>
      </c>
      <c r="U5" s="216">
        <f>VLOOKUP("營業利益",$B$40:$L$500,3,0)</f>
        <v>56</v>
      </c>
      <c r="V5" s="217">
        <f>VLOOKUP("營業利益",$B$40:$L$500,2,0)</f>
        <v>65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27"/>
      <c r="G6" s="327"/>
      <c r="H6" s="327"/>
      <c r="I6" s="327"/>
      <c r="J6" s="6"/>
      <c r="K6" s="8"/>
      <c r="L6" s="8"/>
      <c r="M6" s="8"/>
      <c r="N6" s="184" t="s">
        <v>12</v>
      </c>
      <c r="O6" s="215">
        <f>VLOOKUP("營業外收入合計",$B$40:$L$500,9,0)</f>
        <v>8</v>
      </c>
      <c r="P6" s="216">
        <f>VLOOKUP("營業外收入合計",$B$40:$L$500,8,0)</f>
        <v>10</v>
      </c>
      <c r="Q6" s="216">
        <f>VLOOKUP("營業外收入合計",$B$40:$L$500,7,0)</f>
        <v>6</v>
      </c>
      <c r="R6" s="216">
        <f>VLOOKUP("營業外收入合計",$B$40:$L$500,6,0)</f>
        <v>6</v>
      </c>
      <c r="S6" s="216">
        <f>VLOOKUP("營業外收入合計",$B$40:$L$500,5,0)</f>
        <v>6</v>
      </c>
      <c r="T6" s="216">
        <f>VLOOKUP("營業外收入合計",$B$40:$L$500,4,0)</f>
        <v>24</v>
      </c>
      <c r="U6" s="216">
        <f>VLOOKUP("營業外收入合計",$B$40:$L$500,3,0)</f>
        <v>9</v>
      </c>
      <c r="V6" s="217">
        <f>VLOOKUP("營業外收入合計",$B$40:$L$500,2,0)</f>
        <v>-3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71</v>
      </c>
      <c r="P7" s="216">
        <f>VLOOKUP("稅前淨利",$B$40:$L$500,8,0)</f>
        <v>59</v>
      </c>
      <c r="Q7" s="216">
        <f>VLOOKUP("稅前淨利",$B$40:$L$500,7,0)</f>
        <v>68</v>
      </c>
      <c r="R7" s="216">
        <f>VLOOKUP("稅前淨利",$B$40:$L$500,6,0)</f>
        <v>72</v>
      </c>
      <c r="S7" s="216">
        <f>VLOOKUP("稅前淨利",$B$40:$L$500,5,0)</f>
        <v>68</v>
      </c>
      <c r="T7" s="216">
        <f>VLOOKUP("稅前淨利",$B$40:$L$500,4,0)</f>
        <v>73</v>
      </c>
      <c r="U7" s="216">
        <f>VLOOKUP("稅前淨利",$B$40:$L$500,3,0)</f>
        <v>64</v>
      </c>
      <c r="V7" s="217">
        <f>VLOOKUP("稅前淨利",$B$40:$L$500,2,0)</f>
        <v>59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27"/>
      <c r="G8" s="327"/>
      <c r="H8" s="327"/>
      <c r="I8" s="327"/>
      <c r="J8" s="6"/>
      <c r="K8" s="8"/>
      <c r="L8" s="8"/>
      <c r="M8" s="8"/>
      <c r="N8" s="184" t="s">
        <v>13</v>
      </c>
      <c r="O8" s="215">
        <f>VLOOKUP("本期稅後淨利",$B$40:$L$500,9,0)</f>
        <v>54</v>
      </c>
      <c r="P8" s="216">
        <f>VLOOKUP("本期稅後淨利",$B$40:$L$500,8,0)</f>
        <v>49</v>
      </c>
      <c r="Q8" s="216">
        <f>VLOOKUP("本期稅後淨利",$B$40:$L$500,7,0)</f>
        <v>55</v>
      </c>
      <c r="R8" s="216">
        <f>VLOOKUP("本期稅後淨利",$B$40:$L$500,6,0)</f>
        <v>59</v>
      </c>
      <c r="S8" s="216">
        <f>VLOOKUP("本期稅後淨利",$B$40:$L$500,5,0)</f>
        <v>57</v>
      </c>
      <c r="T8" s="216">
        <f>VLOOKUP("本期稅後淨利",$B$40:$L$500,4,0)</f>
        <v>63</v>
      </c>
      <c r="U8" s="216">
        <f>VLOOKUP("本期稅後淨利",$B$40:$L$500,3,0)</f>
        <v>50</v>
      </c>
      <c r="V8" s="217">
        <f>VLOOKUP("本期稅後淨利",$B$40:$L$500,2,0)</f>
        <v>49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1.55</v>
      </c>
      <c r="P9" s="216">
        <f>VLOOKUP("每股盈餘 (元)",$B$40:$L$500,8,0)</f>
        <v>1.39</v>
      </c>
      <c r="Q9" s="216">
        <f>VLOOKUP("每股盈餘 (元)",$B$40:$L$500,7,0)</f>
        <v>1.57</v>
      </c>
      <c r="R9" s="216">
        <f>VLOOKUP("每股盈餘 (元)",$B$40:$L$500,6,0)</f>
        <v>1.69</v>
      </c>
      <c r="S9" s="216">
        <f>VLOOKUP("每股盈餘 (元)",$B$40:$L$500,5,0)</f>
        <v>1.63</v>
      </c>
      <c r="T9" s="216">
        <f>VLOOKUP("每股盈餘 (元)",$B$40:$L$500,4,0)</f>
        <v>1.79</v>
      </c>
      <c r="U9" s="216">
        <f>VLOOKUP("每股盈餘 (元)",$B$40:$L$500,3,0)</f>
        <v>1.44</v>
      </c>
      <c r="V9" s="217">
        <f>VLOOKUP("每股盈餘 (元)",$B$40:$L$500,2,0)</f>
        <v>1.39</v>
      </c>
      <c r="W9" s="174">
        <f>MAX(R9:V9)</f>
        <v>1.79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27"/>
      <c r="G10" s="327"/>
      <c r="H10" s="327"/>
      <c r="I10" s="327"/>
      <c r="J10" s="6"/>
      <c r="K10" s="8"/>
      <c r="L10" s="8"/>
      <c r="M10" s="8"/>
      <c r="N10" s="184" t="s">
        <v>222</v>
      </c>
      <c r="O10" s="215">
        <f>VLOOKUP(" 應收帳款及票據",$B$40:$L$500,9,0)</f>
        <v>941</v>
      </c>
      <c r="P10" s="216">
        <f>VLOOKUP(" 應收帳款及票據",$B$40:$L$500,8,0)</f>
        <v>922</v>
      </c>
      <c r="Q10" s="216">
        <f>VLOOKUP(" 應收帳款及票據",$B$40:$L$500,7,0)</f>
        <v>964</v>
      </c>
      <c r="R10" s="216">
        <f>VLOOKUP(" 應收帳款及票據",$B$40:$L$500,6,0)</f>
        <v>972</v>
      </c>
      <c r="S10" s="216">
        <f>VLOOKUP(" 應收帳款及票據",$B$40:$L$500,5,0)</f>
        <v>977</v>
      </c>
      <c r="T10" s="216">
        <f>VLOOKUP(" 應收帳款及票據",$B$40:$L$500,4,0)</f>
        <v>931</v>
      </c>
      <c r="U10" s="216">
        <f>VLOOKUP(" 應收帳款及票據",$B$40:$L$500,3,0)</f>
        <v>966</v>
      </c>
      <c r="V10" s="217">
        <f>VLOOKUP(" 應收帳款及票據",$B$40:$L$500,2,0)</f>
        <v>969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336</v>
      </c>
      <c r="P11" s="216">
        <f>VLOOKUP(" 存貨",$B$40:$L$500,8,0)</f>
        <v>331</v>
      </c>
      <c r="Q11" s="216">
        <f>VLOOKUP(" 存貨",$B$40:$L$500,7,0)</f>
        <v>357</v>
      </c>
      <c r="R11" s="216">
        <f>VLOOKUP(" 存貨",$B$40:$L$500,6,0)</f>
        <v>370</v>
      </c>
      <c r="S11" s="216">
        <f>VLOOKUP(" 存貨",$B$40:$L$500,5,0)</f>
        <v>371</v>
      </c>
      <c r="T11" s="216">
        <f>VLOOKUP(" 存貨",$B$40:$L$500,4,0)</f>
        <v>415</v>
      </c>
      <c r="U11" s="216">
        <f>VLOOKUP(" 存貨",$B$40:$L$500,3,0)</f>
        <v>401</v>
      </c>
      <c r="V11" s="217">
        <f>VLOOKUP(" 存貨",$B$40:$L$500,2,0)</f>
        <v>464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539</v>
      </c>
      <c r="P12" s="216">
        <f>VLOOKUP(" 應付帳款及票據",$B$40:$L$500,8,0)</f>
        <v>502</v>
      </c>
      <c r="Q12" s="216">
        <f>VLOOKUP(" 應付帳款及票據",$B$40:$L$500,7,0)</f>
        <v>544</v>
      </c>
      <c r="R12" s="216">
        <f>VLOOKUP(" 應付帳款及票據",$B$40:$L$500,6,0)</f>
        <v>525</v>
      </c>
      <c r="S12" s="216">
        <f>VLOOKUP(" 應付帳款及票據",$B$40:$L$500,5,0)</f>
        <v>525</v>
      </c>
      <c r="T12" s="216">
        <f>VLOOKUP(" 應付帳款及票據",$B$40:$L$500,4,0)</f>
        <v>525</v>
      </c>
      <c r="U12" s="216">
        <f>VLOOKUP(" 應付帳款及票據",$B$40:$L$500,3,0)</f>
        <v>508</v>
      </c>
      <c r="V12" s="217">
        <f>VLOOKUP(" 應付帳款及票據",$B$40:$L$500,2,0)</f>
        <v>586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869</v>
      </c>
      <c r="P13" s="216">
        <f>VLOOKUP("負債總額",$B$40:$L$500,8,0)</f>
        <v>712</v>
      </c>
      <c r="Q13" s="216">
        <f>VLOOKUP("負債總額",$B$40:$L$500,7,0)</f>
        <v>956</v>
      </c>
      <c r="R13" s="216">
        <f>VLOOKUP("負債總額",$B$40:$L$500,6,0)</f>
        <v>794</v>
      </c>
      <c r="S13" s="216">
        <f>VLOOKUP("負債總額",$B$40:$L$500,5,0)</f>
        <v>879</v>
      </c>
      <c r="T13" s="216">
        <f>VLOOKUP("負債總額",$B$40:$L$500,4,0)</f>
        <v>830</v>
      </c>
      <c r="U13" s="216">
        <f>VLOOKUP("負債總額",$B$40:$L$500,3,0)</f>
        <v>973</v>
      </c>
      <c r="V13" s="217">
        <f>VLOOKUP("負債總額",$B$40:$L$500,2,0)</f>
        <v>891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19" t="s">
        <v>1889</v>
      </c>
      <c r="G14" s="319"/>
      <c r="H14" s="319"/>
      <c r="I14" s="319"/>
      <c r="J14" s="42"/>
      <c r="K14" s="8"/>
      <c r="L14" s="8"/>
      <c r="M14" s="8"/>
      <c r="N14" s="184" t="s">
        <v>18</v>
      </c>
      <c r="O14" s="215">
        <f>VLOOKUP("資產總額",$B$40:$L$500,9,0)</f>
        <v>2350</v>
      </c>
      <c r="P14" s="216">
        <f>VLOOKUP("資產總額",$B$40:$L$500,8,0)</f>
        <v>2241</v>
      </c>
      <c r="Q14" s="216">
        <f>VLOOKUP("資產總額",$B$40:$L$500,7,0)</f>
        <v>2364</v>
      </c>
      <c r="R14" s="216">
        <f>VLOOKUP("資產總額",$B$40:$L$500,6,0)</f>
        <v>2261</v>
      </c>
      <c r="S14" s="216">
        <f>VLOOKUP("資產總額",$B$40:$L$500,5,0)</f>
        <v>2402</v>
      </c>
      <c r="T14" s="216">
        <f>VLOOKUP("資產總額",$B$40:$L$500,4,0)</f>
        <v>2414</v>
      </c>
      <c r="U14" s="216">
        <f>VLOOKUP("資產總額",$B$40:$L$500,3,0)</f>
        <v>2430</v>
      </c>
      <c r="V14" s="217">
        <f>VLOOKUP("資產總額",$B$40:$L$500,2,0)</f>
        <v>2378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90</v>
      </c>
      <c r="P15" s="216">
        <f>VLOOKUP("來自營運之現金流量",$B$40:$L$500,8,0)</f>
        <v>-27</v>
      </c>
      <c r="Q15" s="216">
        <f>VLOOKUP("來自營運之現金流量",$B$40:$L$500,7,0)</f>
        <v>-116</v>
      </c>
      <c r="R15" s="216">
        <f>VLOOKUP("來自營運之現金流量",$B$40:$L$500,6,0)</f>
        <v>128</v>
      </c>
      <c r="S15" s="216">
        <f>VLOOKUP("來自營運之現金流量",$B$40:$L$500,5,0)</f>
        <v>47</v>
      </c>
      <c r="T15" s="216">
        <f>VLOOKUP("來自營運之現金流量",$B$40:$L$500,4,0)</f>
        <v>-49</v>
      </c>
      <c r="U15" s="216">
        <f>VLOOKUP("來自營運之現金流量",$B$40:$L$500,3,0)</f>
        <v>-58</v>
      </c>
      <c r="V15" s="217">
        <f>VLOOKUP("來自營運之現金流量",$B$40:$L$500,2,0)</f>
        <v>158</v>
      </c>
      <c r="W15" s="176">
        <f>AVERAGE(R15:V15)</f>
        <v>45.2</v>
      </c>
      <c r="X15" s="176">
        <f>AVERAGE(U15:V15)</f>
        <v>50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27"/>
      <c r="G16" s="327"/>
      <c r="H16" s="327"/>
      <c r="I16" s="327"/>
      <c r="J16" s="6"/>
      <c r="K16" s="8"/>
      <c r="L16" s="8"/>
      <c r="M16" s="8"/>
      <c r="N16" s="184" t="s">
        <v>20</v>
      </c>
      <c r="O16" s="215">
        <v>9</v>
      </c>
      <c r="P16" s="216">
        <v>16</v>
      </c>
      <c r="Q16" s="216">
        <v>9</v>
      </c>
      <c r="R16" s="216">
        <v>14</v>
      </c>
      <c r="S16" s="216">
        <v>-10</v>
      </c>
      <c r="T16" s="216">
        <v>7</v>
      </c>
      <c r="U16" s="216">
        <v>4</v>
      </c>
      <c r="V16" s="217">
        <v>4</v>
      </c>
      <c r="W16" s="176">
        <f>MAX(O16:V16)</f>
        <v>16</v>
      </c>
      <c r="X16" s="176">
        <f>AVERAGE(U16:V16)</f>
        <v>4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-5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27"/>
      <c r="G18" s="327"/>
      <c r="H18" s="327"/>
      <c r="I18" s="327"/>
      <c r="J18" s="6"/>
      <c r="K18" s="8"/>
      <c r="L18" s="8"/>
      <c r="M18" s="8"/>
      <c r="N18" s="184" t="s">
        <v>22</v>
      </c>
      <c r="O18" s="215">
        <f>VLOOKUP(" 折舊",$B$40:$L$500,9,0)</f>
        <v>8</v>
      </c>
      <c r="P18" s="216">
        <f>VLOOKUP(" 折舊",$B$40:$L$500,8,0)</f>
        <v>9</v>
      </c>
      <c r="Q18" s="216">
        <f>VLOOKUP(" 折舊",$B$40:$L$500,7,0)</f>
        <v>9</v>
      </c>
      <c r="R18" s="216">
        <f>VLOOKUP(" 折舊",$B$40:$L$500,6,0)</f>
        <v>9</v>
      </c>
      <c r="S18" s="216">
        <f>VLOOKUP(" 折舊",$B$40:$L$500,5,0)</f>
        <v>9</v>
      </c>
      <c r="T18" s="216">
        <f>VLOOKUP(" 折舊",$B$40:$L$500,4,0)</f>
        <v>9</v>
      </c>
      <c r="U18" s="216">
        <f>VLOOKUP(" 折舊",$B$40:$L$500,3,0)</f>
        <v>9</v>
      </c>
      <c r="V18" s="217">
        <f>VLOOKUP(" 折舊",$B$40:$L$500,2,0)</f>
        <v>10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0</v>
      </c>
      <c r="P19" s="219">
        <f>VLOOKUP(" 攤提",$B$40:$L$500,8,0)</f>
        <v>0</v>
      </c>
      <c r="Q19" s="219">
        <f>VLOOKUP(" 攤提",$B$40:$L$500,7,0)</f>
        <v>0</v>
      </c>
      <c r="R19" s="219">
        <f>VLOOKUP(" 攤提",$B$40:$L$500,6,0)</f>
        <v>0</v>
      </c>
      <c r="S19" s="219">
        <f>VLOOKUP(" 攤提",$B$40:$L$500,5,0)</f>
        <v>0</v>
      </c>
      <c r="T19" s="219">
        <f>VLOOKUP(" 攤提",$B$40:$L$500,4,0)</f>
        <v>0</v>
      </c>
      <c r="U19" s="219">
        <f>VLOOKUP(" 攤提",$B$40:$L$500,3,0)</f>
        <v>0</v>
      </c>
      <c r="V19" s="220">
        <f>VLOOKUP(" 攤提",$B$40:$L$500,2,0)</f>
        <v>0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27"/>
      <c r="G20" s="327"/>
      <c r="H20" s="327"/>
      <c r="I20" s="327"/>
      <c r="J20" s="6"/>
      <c r="K20" s="8"/>
      <c r="L20" s="8"/>
      <c r="M20" s="8"/>
      <c r="N20" s="184" t="s">
        <v>24</v>
      </c>
      <c r="O20" s="221">
        <f>VLOOKUP("股東權益總額",$B$40:$L$500,9,0)</f>
        <v>1481</v>
      </c>
      <c r="P20" s="222">
        <f>VLOOKUP("股東權益總額",$B$40:$L$500,8,0)</f>
        <v>1529</v>
      </c>
      <c r="Q20" s="222">
        <f>VLOOKUP("股東權益總額",$B$40:$L$500,7,0)</f>
        <v>1407</v>
      </c>
      <c r="R20" s="222">
        <f>VLOOKUP("股東權益總額",$B$40:$L$500,6,0)</f>
        <v>1467</v>
      </c>
      <c r="S20" s="222">
        <f>VLOOKUP("股東權益總額",$B$40:$L$500,5,0)</f>
        <v>1523</v>
      </c>
      <c r="T20" s="222">
        <f>VLOOKUP("股東權益總額",$B$40:$L$500,4,0)</f>
        <v>1584</v>
      </c>
      <c r="U20" s="222">
        <f>VLOOKUP("股東權益總額",$B$40:$L$500,3,0)</f>
        <v>1458</v>
      </c>
      <c r="V20" s="223">
        <f>VLOOKUP("股東權益總額",$B$40:$L$500,2,0)</f>
        <v>1487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350</v>
      </c>
      <c r="P21" s="225">
        <f>VLOOKUP(" 普通股股本",$B$40:$L$500,8,0)</f>
        <v>350</v>
      </c>
      <c r="Q21" s="225">
        <f>VLOOKUP(" 普通股股本",$B$40:$L$500,7,0)</f>
        <v>350</v>
      </c>
      <c r="R21" s="225">
        <f>VLOOKUP(" 普通股股本",$B$40:$L$500,6,0)</f>
        <v>350</v>
      </c>
      <c r="S21" s="225">
        <f>VLOOKUP(" 普通股股本",$B$40:$L$500,5,0)</f>
        <v>350</v>
      </c>
      <c r="T21" s="225">
        <f>VLOOKUP(" 普通股股本",$B$40:$L$500,4,0)</f>
        <v>350</v>
      </c>
      <c r="U21" s="225">
        <f>VLOOKUP(" 普通股股本",$B$40:$L$500,3,0)</f>
        <v>350</v>
      </c>
      <c r="V21" s="226">
        <f>VLOOKUP(" 普通股股本",$B$40:$L$500,2,0)</f>
        <v>350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27"/>
      <c r="G22" s="327"/>
      <c r="H22" s="327"/>
      <c r="I22" s="327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0.22844827586206898</v>
      </c>
      <c r="P22" s="228">
        <f t="shared" si="0"/>
        <v>0.234375</v>
      </c>
      <c r="Q22" s="228">
        <f t="shared" si="0"/>
        <v>0.23211678832116789</v>
      </c>
      <c r="R22" s="228">
        <f t="shared" si="0"/>
        <v>0.22814814814814816</v>
      </c>
      <c r="S22" s="228">
        <f t="shared" si="0"/>
        <v>0.21242774566473988</v>
      </c>
      <c r="T22" s="228">
        <f t="shared" si="0"/>
        <v>0.22734499205087441</v>
      </c>
      <c r="U22" s="228">
        <f t="shared" si="0"/>
        <v>0.22206095791001451</v>
      </c>
      <c r="V22" s="229">
        <f t="shared" si="0"/>
        <v>0.21597633136094674</v>
      </c>
      <c r="W22" s="326">
        <f>MIN(O22:V23)</f>
        <v>7.2485207100591711E-2</v>
      </c>
      <c r="X22" s="326">
        <f>MAX(O22:V23)</f>
        <v>0.234375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7.7586206896551727E-2</v>
      </c>
      <c r="P23" s="228">
        <f t="shared" ref="P23:V23" si="1">P8/P3</f>
        <v>7.6562500000000006E-2</v>
      </c>
      <c r="Q23" s="228">
        <f t="shared" si="1"/>
        <v>8.0291970802919707E-2</v>
      </c>
      <c r="R23" s="228">
        <f t="shared" si="1"/>
        <v>8.7407407407407406E-2</v>
      </c>
      <c r="S23" s="228">
        <f t="shared" si="1"/>
        <v>8.2369942196531792E-2</v>
      </c>
      <c r="T23" s="228">
        <f t="shared" si="1"/>
        <v>0.10015898251192369</v>
      </c>
      <c r="U23" s="228">
        <f t="shared" si="1"/>
        <v>7.2568940493468792E-2</v>
      </c>
      <c r="V23" s="229">
        <f t="shared" si="1"/>
        <v>7.2485207100591711E-2</v>
      </c>
      <c r="W23" s="326"/>
      <c r="X23" s="326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0.3697872340425532</v>
      </c>
      <c r="P24" s="228">
        <f t="shared" si="2"/>
        <v>0.31771530566711287</v>
      </c>
      <c r="Q24" s="228">
        <f t="shared" si="2"/>
        <v>0.40439932318104904</v>
      </c>
      <c r="R24" s="228">
        <f t="shared" si="2"/>
        <v>0.35117204776647504</v>
      </c>
      <c r="S24" s="228">
        <f t="shared" si="2"/>
        <v>0.36594504579517068</v>
      </c>
      <c r="T24" s="228">
        <f t="shared" si="2"/>
        <v>0.34382767191383595</v>
      </c>
      <c r="U24" s="228">
        <f t="shared" si="2"/>
        <v>0.40041152263374485</v>
      </c>
      <c r="V24" s="229">
        <f t="shared" si="2"/>
        <v>0.37468460891505467</v>
      </c>
      <c r="W24" s="177">
        <f>MIN(O24:V24)</f>
        <v>0.31771530566711287</v>
      </c>
      <c r="X24" s="177">
        <f>MAX(O24:V24)</f>
        <v>0.40439932318104904</v>
      </c>
      <c r="Y24" s="174"/>
      <c r="Z24" s="8"/>
      <c r="AA24" s="127"/>
      <c r="AB24" s="7"/>
      <c r="AC24" s="8"/>
      <c r="AD24" s="9"/>
    </row>
    <row r="25" spans="1:30" ht="5.0999999999999996" customHeight="1">
      <c r="A25" s="322"/>
      <c r="B25" s="323"/>
      <c r="C25" s="323"/>
      <c r="D25" s="323"/>
      <c r="E25" s="323"/>
      <c r="F25" s="323"/>
      <c r="G25" s="323"/>
      <c r="H25" s="323"/>
      <c r="I25" s="323"/>
      <c r="J25" s="324"/>
      <c r="K25" s="8"/>
      <c r="L25" s="8"/>
      <c r="M25" s="8"/>
      <c r="N25" s="184" t="s">
        <v>27</v>
      </c>
      <c r="O25" s="230">
        <f>P25</f>
        <v>96.929846938775512</v>
      </c>
      <c r="P25" s="231">
        <f t="shared" ref="P25:V25" si="3">IF(ISNUMBER(365/(P4*4/((O12+P12)/2))),365/(P4*4/((O12+P12)/2)),0)</f>
        <v>96.929846938775512</v>
      </c>
      <c r="Q25" s="231">
        <f t="shared" si="3"/>
        <v>90.729562737642595</v>
      </c>
      <c r="R25" s="231">
        <f t="shared" si="3"/>
        <v>93.614443378118992</v>
      </c>
      <c r="S25" s="231">
        <f t="shared" si="3"/>
        <v>87.901376146788976</v>
      </c>
      <c r="T25" s="231">
        <f t="shared" si="3"/>
        <v>98.572530864197532</v>
      </c>
      <c r="U25" s="231">
        <f t="shared" si="3"/>
        <v>87.930270522388057</v>
      </c>
      <c r="V25" s="232">
        <f t="shared" si="3"/>
        <v>94.176886792452834</v>
      </c>
      <c r="W25" s="178">
        <f>MIN(O25:V27)</f>
        <v>59.676806083650185</v>
      </c>
      <c r="X25" s="179">
        <f>MAX(O25:V27)</f>
        <v>138.39825119236883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19" t="s">
        <v>1881</v>
      </c>
      <c r="G26" s="319"/>
      <c r="H26" s="319"/>
      <c r="I26" s="319"/>
      <c r="J26" s="124"/>
      <c r="K26" s="8"/>
      <c r="L26" s="8"/>
      <c r="M26" s="8"/>
      <c r="N26" s="184" t="s">
        <v>28</v>
      </c>
      <c r="O26" s="233">
        <f>P26</f>
        <v>132.8115234375</v>
      </c>
      <c r="P26" s="234">
        <f t="shared" ref="P26:V27" si="4">IF(ISNUMBER(365/(P3*4/((O10+P10)/2))),365/(P3*4/((O10+P10)/2)),0)</f>
        <v>132.8115234375</v>
      </c>
      <c r="Q26" s="234">
        <f t="shared" si="4"/>
        <v>125.61861313868613</v>
      </c>
      <c r="R26" s="234">
        <f t="shared" si="4"/>
        <v>130.85925925925926</v>
      </c>
      <c r="S26" s="234">
        <f t="shared" si="4"/>
        <v>128.50162572254334</v>
      </c>
      <c r="T26" s="234">
        <f t="shared" si="4"/>
        <v>138.39825119236883</v>
      </c>
      <c r="U26" s="234">
        <f t="shared" si="4"/>
        <v>125.61774310595065</v>
      </c>
      <c r="V26" s="235">
        <f t="shared" si="4"/>
        <v>130.59818786982248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62.105867346938773</v>
      </c>
      <c r="P27" s="231">
        <f t="shared" si="4"/>
        <v>62.105867346938773</v>
      </c>
      <c r="Q27" s="231">
        <f t="shared" si="4"/>
        <v>59.676806083650185</v>
      </c>
      <c r="R27" s="231">
        <f t="shared" si="4"/>
        <v>63.664827255278311</v>
      </c>
      <c r="S27" s="231">
        <f t="shared" si="4"/>
        <v>62.033256880733951</v>
      </c>
      <c r="T27" s="231">
        <f t="shared" si="4"/>
        <v>73.788580246913583</v>
      </c>
      <c r="U27" s="231">
        <f t="shared" si="4"/>
        <v>69.458955223880594</v>
      </c>
      <c r="V27" s="232">
        <f t="shared" si="4"/>
        <v>74.46344339622641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27"/>
      <c r="G28" s="327"/>
      <c r="H28" s="327"/>
      <c r="I28" s="327"/>
      <c r="J28" s="6"/>
      <c r="K28" s="8"/>
      <c r="L28" s="8"/>
      <c r="M28" s="8"/>
      <c r="N28" s="184" t="s">
        <v>30</v>
      </c>
      <c r="O28" s="236">
        <f>O26+O27</f>
        <v>194.91739078443877</v>
      </c>
      <c r="P28" s="237">
        <f t="shared" ref="P28:V28" si="5">P26+P27</f>
        <v>194.91739078443877</v>
      </c>
      <c r="Q28" s="237">
        <f t="shared" si="5"/>
        <v>185.29541922233631</v>
      </c>
      <c r="R28" s="237">
        <f t="shared" si="5"/>
        <v>194.52408651453757</v>
      </c>
      <c r="S28" s="237">
        <f t="shared" si="5"/>
        <v>190.53488260327728</v>
      </c>
      <c r="T28" s="237">
        <f t="shared" si="5"/>
        <v>212.1868314392824</v>
      </c>
      <c r="U28" s="237">
        <f t="shared" si="5"/>
        <v>195.07669832983123</v>
      </c>
      <c r="V28" s="238">
        <f t="shared" si="5"/>
        <v>205.06163126604889</v>
      </c>
      <c r="W28" s="180">
        <f>MIN(O28:V28)</f>
        <v>185.29541922233631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8</v>
      </c>
      <c r="P29" s="216">
        <f t="shared" ref="P29:V29" si="6">P18+P19</f>
        <v>9</v>
      </c>
      <c r="Q29" s="216">
        <f t="shared" si="6"/>
        <v>9</v>
      </c>
      <c r="R29" s="216">
        <f t="shared" si="6"/>
        <v>9</v>
      </c>
      <c r="S29" s="216">
        <f t="shared" si="6"/>
        <v>9</v>
      </c>
      <c r="T29" s="216">
        <f t="shared" si="6"/>
        <v>9</v>
      </c>
      <c r="U29" s="216">
        <f t="shared" si="6"/>
        <v>9</v>
      </c>
      <c r="V29" s="217">
        <f t="shared" si="6"/>
        <v>10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27"/>
      <c r="G30" s="327"/>
      <c r="H30" s="327"/>
      <c r="I30" s="327"/>
      <c r="J30" s="6"/>
      <c r="K30" s="8"/>
      <c r="L30" s="8"/>
      <c r="M30" s="8"/>
      <c r="N30" s="184" t="s">
        <v>32</v>
      </c>
      <c r="O30" s="227">
        <f>P30</f>
        <v>1.7274472168905951E-2</v>
      </c>
      <c r="P30" s="228">
        <f t="shared" ref="P30:V30" si="7">P29/(IF(P3-O3&gt;0,P3,O4)-P16)</f>
        <v>1.7274472168905951E-2</v>
      </c>
      <c r="Q30" s="228">
        <f t="shared" si="7"/>
        <v>1.3313609467455622E-2</v>
      </c>
      <c r="R30" s="228">
        <f t="shared" si="7"/>
        <v>1.7578125E-2</v>
      </c>
      <c r="S30" s="228">
        <f t="shared" si="7"/>
        <v>1.282051282051282E-2</v>
      </c>
      <c r="T30" s="228">
        <f t="shared" si="7"/>
        <v>1.6728624535315983E-2</v>
      </c>
      <c r="U30" s="228">
        <f t="shared" si="7"/>
        <v>1.3138686131386862E-2</v>
      </c>
      <c r="V30" s="229">
        <f t="shared" si="7"/>
        <v>1.8796992481203006E-2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1.4897579143389199E-2</v>
      </c>
      <c r="P31" s="240">
        <f t="shared" si="8"/>
        <v>1.8367346938775512E-2</v>
      </c>
      <c r="Q31" s="240">
        <f t="shared" si="8"/>
        <v>1.7110266159695818E-2</v>
      </c>
      <c r="R31" s="240">
        <f t="shared" si="8"/>
        <v>1.7274472168905951E-2</v>
      </c>
      <c r="S31" s="240">
        <f>S29/S4</f>
        <v>1.6513761467889909E-2</v>
      </c>
      <c r="T31" s="240">
        <f t="shared" si="8"/>
        <v>1.8518518518518517E-2</v>
      </c>
      <c r="U31" s="240">
        <f t="shared" si="8"/>
        <v>1.6791044776119403E-2</v>
      </c>
      <c r="V31" s="241">
        <f t="shared" si="8"/>
        <v>1.8867924528301886E-2</v>
      </c>
      <c r="W31" s="321">
        <f>AVERAGE(O32:V32)</f>
        <v>0.88258099850109528</v>
      </c>
      <c r="X31" s="321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27"/>
      <c r="G32" s="327"/>
      <c r="H32" s="327"/>
      <c r="I32" s="327"/>
      <c r="J32" s="6"/>
      <c r="K32" s="8"/>
      <c r="L32" s="8"/>
      <c r="M32" s="8"/>
      <c r="N32" s="320" t="s">
        <v>33</v>
      </c>
      <c r="O32" s="242">
        <f t="shared" ref="O32:V32" si="9">IF(O8&gt;0,IF(O15&gt;O8,IF(ISNUMBER(O15/O8),O15/O8,0),0),0)</f>
        <v>1.6666666666666667</v>
      </c>
      <c r="P32" s="243">
        <f t="shared" si="9"/>
        <v>0</v>
      </c>
      <c r="Q32" s="243">
        <f t="shared" si="9"/>
        <v>0</v>
      </c>
      <c r="R32" s="243">
        <f t="shared" si="9"/>
        <v>2.1694915254237288</v>
      </c>
      <c r="S32" s="243">
        <f t="shared" si="9"/>
        <v>0</v>
      </c>
      <c r="T32" s="243">
        <f t="shared" si="9"/>
        <v>0</v>
      </c>
      <c r="U32" s="243">
        <f t="shared" si="9"/>
        <v>0</v>
      </c>
      <c r="V32" s="244">
        <f t="shared" si="9"/>
        <v>3.2244897959183674</v>
      </c>
      <c r="W32" s="321"/>
      <c r="X32" s="321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20"/>
      <c r="O33" s="242">
        <f>$W$31</f>
        <v>0.88258099850109528</v>
      </c>
      <c r="P33" s="243">
        <f t="shared" ref="P33:V33" si="10">$W$31</f>
        <v>0.88258099850109528</v>
      </c>
      <c r="Q33" s="243">
        <f t="shared" si="10"/>
        <v>0.88258099850109528</v>
      </c>
      <c r="R33" s="243">
        <f t="shared" si="10"/>
        <v>0.88258099850109528</v>
      </c>
      <c r="S33" s="243">
        <f t="shared" si="10"/>
        <v>0.88258099850109528</v>
      </c>
      <c r="T33" s="243">
        <f t="shared" si="10"/>
        <v>0.88258099850109528</v>
      </c>
      <c r="U33" s="243">
        <f t="shared" si="10"/>
        <v>0.88258099850109528</v>
      </c>
      <c r="V33" s="244">
        <f t="shared" si="10"/>
        <v>0.88258099850109528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27"/>
      <c r="G34" s="327"/>
      <c r="H34" s="327"/>
      <c r="I34" s="327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66</v>
      </c>
      <c r="P34" s="246">
        <f t="shared" si="11"/>
        <v>59</v>
      </c>
      <c r="Q34" s="246">
        <f t="shared" si="11"/>
        <v>61</v>
      </c>
      <c r="R34" s="246">
        <f t="shared" si="11"/>
        <v>63</v>
      </c>
      <c r="S34" s="246">
        <f t="shared" si="11"/>
        <v>66</v>
      </c>
      <c r="T34" s="246">
        <f t="shared" si="11"/>
        <v>53</v>
      </c>
      <c r="U34" s="246">
        <f t="shared" si="11"/>
        <v>56</v>
      </c>
      <c r="V34" s="247">
        <f t="shared" si="11"/>
        <v>65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0.92957746478873238</v>
      </c>
      <c r="P35" s="228">
        <f t="shared" si="12"/>
        <v>1</v>
      </c>
      <c r="Q35" s="228">
        <f t="shared" si="12"/>
        <v>0.8970588235294118</v>
      </c>
      <c r="R35" s="228">
        <f t="shared" si="12"/>
        <v>0.875</v>
      </c>
      <c r="S35" s="228">
        <f t="shared" si="12"/>
        <v>0.97058823529411764</v>
      </c>
      <c r="T35" s="228">
        <f t="shared" si="12"/>
        <v>0.72602739726027399</v>
      </c>
      <c r="U35" s="228">
        <f t="shared" si="12"/>
        <v>0.875</v>
      </c>
      <c r="V35" s="229">
        <f>IF(ISNUMBER(V6),V34/V7,1)</f>
        <v>1.1016949152542372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7.2022160664819951E-2</v>
      </c>
      <c r="Q36" s="249">
        <f>(Q8+P8)*2/(O20+Q20)</f>
        <v>7.2022160664819951E-2</v>
      </c>
      <c r="R36" s="249">
        <f>((R8+Q8+P8)/3)*4/(O20+R20)</f>
        <v>7.3722297602894615E-2</v>
      </c>
      <c r="S36" s="249">
        <f>(S8+R8+Q8+P8)/(O20+S20)</f>
        <v>7.3235685752330221E-2</v>
      </c>
      <c r="T36" s="249">
        <f>(T8+S8+R8+Q8)/(P20+T20)</f>
        <v>7.5168647606810149E-2</v>
      </c>
      <c r="U36" s="249">
        <f>(U8+T8+S8+R8)/(Q20+U20)</f>
        <v>7.9930191972076792E-2</v>
      </c>
      <c r="V36" s="250">
        <f>(V8+U8+T8+S8)/(R20+V20)</f>
        <v>7.413676371022343E-2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81</v>
      </c>
      <c r="P37" s="125">
        <f>P15-P16</f>
        <v>-43</v>
      </c>
      <c r="Q37" s="125">
        <f t="shared" ref="Q37:V37" si="13">Q15-Q16</f>
        <v>-125</v>
      </c>
      <c r="R37" s="125">
        <f t="shared" si="13"/>
        <v>114</v>
      </c>
      <c r="S37" s="125">
        <f t="shared" si="13"/>
        <v>57</v>
      </c>
      <c r="T37" s="125">
        <f t="shared" si="13"/>
        <v>-56</v>
      </c>
      <c r="U37" s="125">
        <f t="shared" si="13"/>
        <v>-62</v>
      </c>
      <c r="V37" s="125">
        <f t="shared" si="13"/>
        <v>154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2058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676</v>
      </c>
      <c r="D41" s="14">
        <v>689</v>
      </c>
      <c r="E41" s="14">
        <v>629</v>
      </c>
      <c r="F41" s="14">
        <v>692</v>
      </c>
      <c r="G41" s="14">
        <v>675</v>
      </c>
      <c r="H41" s="14">
        <v>685</v>
      </c>
      <c r="I41" s="14">
        <v>640</v>
      </c>
      <c r="J41" s="14">
        <v>696</v>
      </c>
      <c r="AA41" s="127"/>
    </row>
    <row r="42" spans="1:31" s="3" customFormat="1">
      <c r="B42" s="3" t="s">
        <v>11</v>
      </c>
      <c r="C42" s="14">
        <v>530</v>
      </c>
      <c r="D42" s="14">
        <v>536</v>
      </c>
      <c r="E42" s="14">
        <v>486</v>
      </c>
      <c r="F42" s="14">
        <v>545</v>
      </c>
      <c r="G42" s="14">
        <v>521</v>
      </c>
      <c r="H42" s="14">
        <v>526</v>
      </c>
      <c r="I42" s="14">
        <v>490</v>
      </c>
      <c r="J42" s="14">
        <v>537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146</v>
      </c>
      <c r="D43" s="14">
        <v>153</v>
      </c>
      <c r="E43" s="14">
        <v>144</v>
      </c>
      <c r="F43" s="14">
        <v>147</v>
      </c>
      <c r="G43" s="14">
        <v>153</v>
      </c>
      <c r="H43" s="14">
        <v>159</v>
      </c>
      <c r="I43" s="14">
        <v>150</v>
      </c>
      <c r="J43" s="14">
        <v>159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146</v>
      </c>
      <c r="D45" s="14">
        <v>153</v>
      </c>
      <c r="E45" s="14">
        <v>144</v>
      </c>
      <c r="F45" s="14">
        <v>147</v>
      </c>
      <c r="G45" s="14">
        <v>153</v>
      </c>
      <c r="H45" s="14">
        <v>159</v>
      </c>
      <c r="I45" s="14">
        <v>150</v>
      </c>
      <c r="J45" s="14">
        <v>159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81</v>
      </c>
      <c r="D46" s="14">
        <v>97</v>
      </c>
      <c r="E46" s="14">
        <v>91</v>
      </c>
      <c r="F46" s="14">
        <v>81</v>
      </c>
      <c r="G46" s="14">
        <v>90</v>
      </c>
      <c r="H46" s="14">
        <v>98</v>
      </c>
      <c r="I46" s="14">
        <v>91</v>
      </c>
      <c r="J46" s="14">
        <v>93</v>
      </c>
      <c r="N46" s="126"/>
      <c r="AA46" s="127"/>
    </row>
    <row r="47" spans="1:31" s="3" customFormat="1">
      <c r="B47" s="3" t="s">
        <v>59</v>
      </c>
      <c r="C47" s="14">
        <v>51</v>
      </c>
      <c r="D47" s="14">
        <v>59</v>
      </c>
      <c r="E47" s="14">
        <v>56</v>
      </c>
      <c r="F47" s="14">
        <v>52</v>
      </c>
      <c r="G47" s="14">
        <v>61</v>
      </c>
      <c r="H47" s="14">
        <v>66</v>
      </c>
      <c r="I47" s="14">
        <v>57</v>
      </c>
      <c r="J47" s="14">
        <v>63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30</v>
      </c>
      <c r="D48" s="14">
        <v>38</v>
      </c>
      <c r="E48" s="14">
        <v>35</v>
      </c>
      <c r="F48" s="14">
        <v>29</v>
      </c>
      <c r="G48" s="14">
        <v>29</v>
      </c>
      <c r="H48" s="14">
        <v>32</v>
      </c>
      <c r="I48" s="14">
        <v>34</v>
      </c>
      <c r="J48" s="14">
        <v>31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N49" s="116" t="s">
        <v>1959</v>
      </c>
      <c r="O49" s="330" t="s">
        <v>1961</v>
      </c>
      <c r="P49" s="330" t="s">
        <v>1962</v>
      </c>
      <c r="Q49" s="332" t="s">
        <v>1963</v>
      </c>
      <c r="R49" s="330" t="s">
        <v>1964</v>
      </c>
      <c r="S49" s="328" t="s">
        <v>1965</v>
      </c>
      <c r="T49" s="355" t="s">
        <v>1966</v>
      </c>
      <c r="U49" s="328" t="s">
        <v>1967</v>
      </c>
      <c r="V49" s="328" t="s">
        <v>1968</v>
      </c>
      <c r="W49" s="328" t="s">
        <v>1969</v>
      </c>
      <c r="X49" s="328" t="s">
        <v>1970</v>
      </c>
      <c r="Y49" s="328" t="s">
        <v>1971</v>
      </c>
      <c r="AA49" s="127"/>
    </row>
    <row r="50" spans="2:27" s="3" customFormat="1" ht="17.25" thickBot="1">
      <c r="B50" s="3" t="s">
        <v>62</v>
      </c>
      <c r="C50" s="14">
        <v>65</v>
      </c>
      <c r="D50" s="14">
        <v>56</v>
      </c>
      <c r="E50" s="14">
        <v>53</v>
      </c>
      <c r="F50" s="14">
        <v>66</v>
      </c>
      <c r="G50" s="14">
        <v>63</v>
      </c>
      <c r="H50" s="14">
        <v>61</v>
      </c>
      <c r="I50" s="14">
        <v>59</v>
      </c>
      <c r="J50" s="14">
        <v>66</v>
      </c>
      <c r="N50" s="117" t="s">
        <v>1960</v>
      </c>
      <c r="O50" s="331"/>
      <c r="P50" s="331"/>
      <c r="Q50" s="333"/>
      <c r="R50" s="331"/>
      <c r="S50" s="329"/>
      <c r="T50" s="356"/>
      <c r="U50" s="329"/>
      <c r="V50" s="329"/>
      <c r="W50" s="329"/>
      <c r="X50" s="329"/>
      <c r="Y50" s="329"/>
      <c r="AA50" s="127"/>
    </row>
    <row r="51" spans="2:27" s="3" customFormat="1">
      <c r="B51" s="3" t="s">
        <v>63</v>
      </c>
      <c r="C51" s="14">
        <v>4</v>
      </c>
      <c r="D51" s="14">
        <v>3</v>
      </c>
      <c r="E51" s="14">
        <v>3</v>
      </c>
      <c r="F51" s="14">
        <v>4</v>
      </c>
      <c r="G51" s="14">
        <v>4</v>
      </c>
      <c r="H51" s="14">
        <v>4</v>
      </c>
      <c r="I51" s="14">
        <v>4</v>
      </c>
      <c r="J51" s="14">
        <v>4</v>
      </c>
      <c r="N51" s="129" t="s">
        <v>2060</v>
      </c>
      <c r="O51" s="337">
        <v>0.60416666666666663</v>
      </c>
      <c r="P51" s="340">
        <v>103.5</v>
      </c>
      <c r="Q51" s="343">
        <v>103</v>
      </c>
      <c r="R51" s="346">
        <v>103.5</v>
      </c>
      <c r="S51" s="379" t="s">
        <v>2061</v>
      </c>
      <c r="T51" s="349">
        <v>79</v>
      </c>
      <c r="U51" s="352">
        <v>101.5</v>
      </c>
      <c r="V51" s="352">
        <v>101.5</v>
      </c>
      <c r="W51" s="352">
        <v>103.5</v>
      </c>
      <c r="X51" s="352">
        <v>101</v>
      </c>
      <c r="Y51" s="130" t="s">
        <v>1973</v>
      </c>
      <c r="AA51" s="127"/>
    </row>
    <row r="52" spans="2:27" s="3" customFormat="1">
      <c r="B52" s="3" t="s">
        <v>64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N52" s="131" t="s">
        <v>1972</v>
      </c>
      <c r="O52" s="338"/>
      <c r="P52" s="341"/>
      <c r="Q52" s="344"/>
      <c r="R52" s="347"/>
      <c r="S52" s="380"/>
      <c r="T52" s="350"/>
      <c r="U52" s="353"/>
      <c r="V52" s="353"/>
      <c r="W52" s="353"/>
      <c r="X52" s="353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15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38"/>
      <c r="P53" s="341"/>
      <c r="Q53" s="344"/>
      <c r="R53" s="347"/>
      <c r="S53" s="380"/>
      <c r="T53" s="350"/>
      <c r="U53" s="353"/>
      <c r="V53" s="353"/>
      <c r="W53" s="353"/>
      <c r="X53" s="353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34"/>
      <c r="O54" s="339"/>
      <c r="P54" s="342"/>
      <c r="Q54" s="345"/>
      <c r="R54" s="348"/>
      <c r="S54" s="381"/>
      <c r="T54" s="351"/>
      <c r="U54" s="354"/>
      <c r="V54" s="354"/>
      <c r="W54" s="354"/>
      <c r="X54" s="354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1</v>
      </c>
      <c r="D55" s="14">
        <v>0</v>
      </c>
      <c r="E55" s="14">
        <v>0</v>
      </c>
      <c r="F55" s="14">
        <v>-4</v>
      </c>
      <c r="G55" s="14">
        <v>-4</v>
      </c>
      <c r="H55" s="14">
        <v>2</v>
      </c>
      <c r="I55" s="14">
        <v>5</v>
      </c>
      <c r="J55" s="14">
        <v>-8</v>
      </c>
      <c r="N55" s="118" t="s">
        <v>2055</v>
      </c>
      <c r="O55" s="334" t="s">
        <v>2056</v>
      </c>
      <c r="P55" s="335"/>
      <c r="Q55" s="335"/>
      <c r="R55" s="335"/>
      <c r="S55" s="335"/>
      <c r="T55" s="335"/>
      <c r="U55" s="335"/>
      <c r="V55" s="335"/>
      <c r="W55" s="335"/>
      <c r="X55" s="335"/>
      <c r="Y55" s="336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-10</v>
      </c>
      <c r="D61" s="14">
        <v>5</v>
      </c>
      <c r="E61" s="14">
        <v>5</v>
      </c>
      <c r="F61" s="14">
        <v>4</v>
      </c>
      <c r="G61" s="14">
        <v>4</v>
      </c>
      <c r="H61" s="14">
        <v>0</v>
      </c>
      <c r="I61" s="14">
        <v>0</v>
      </c>
      <c r="J61" s="14">
        <v>11</v>
      </c>
      <c r="AA61" s="127"/>
    </row>
    <row r="62" spans="2:27" s="3" customFormat="1">
      <c r="B62" s="3" t="s">
        <v>74</v>
      </c>
      <c r="C62" s="14">
        <v>2</v>
      </c>
      <c r="D62" s="14">
        <v>1</v>
      </c>
      <c r="E62" s="14">
        <v>1</v>
      </c>
      <c r="F62" s="14">
        <v>1</v>
      </c>
      <c r="G62" s="14">
        <v>1</v>
      </c>
      <c r="H62" s="14">
        <v>1</v>
      </c>
      <c r="I62" s="14">
        <v>1</v>
      </c>
      <c r="J62" s="14">
        <v>0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-3</v>
      </c>
      <c r="D63" s="14">
        <v>9</v>
      </c>
      <c r="E63" s="14">
        <v>24</v>
      </c>
      <c r="F63" s="14">
        <v>6</v>
      </c>
      <c r="G63" s="14">
        <v>6</v>
      </c>
      <c r="H63" s="14">
        <v>6</v>
      </c>
      <c r="I63" s="14">
        <v>10</v>
      </c>
      <c r="J63" s="14">
        <v>8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1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3</v>
      </c>
      <c r="F66" s="14">
        <v>0</v>
      </c>
      <c r="G66" s="14">
        <v>1</v>
      </c>
      <c r="H66" s="14">
        <v>2</v>
      </c>
      <c r="I66" s="14">
        <v>2</v>
      </c>
      <c r="J66" s="14">
        <v>5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2</v>
      </c>
      <c r="G69" s="14">
        <v>0</v>
      </c>
      <c r="H69" s="14">
        <v>0</v>
      </c>
      <c r="I69" s="14">
        <v>0</v>
      </c>
      <c r="J69" s="14">
        <v>-2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3</v>
      </c>
      <c r="D74" s="14">
        <v>0</v>
      </c>
      <c r="E74" s="14">
        <v>0</v>
      </c>
      <c r="F74" s="14">
        <v>0</v>
      </c>
      <c r="G74" s="14">
        <v>-5</v>
      </c>
      <c r="H74" s="14">
        <v>-2</v>
      </c>
      <c r="I74" s="14">
        <v>7</v>
      </c>
      <c r="J74" s="14">
        <v>0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0</v>
      </c>
      <c r="D76" s="14">
        <v>0</v>
      </c>
      <c r="E76" s="14">
        <v>0</v>
      </c>
      <c r="F76" s="14">
        <v>1</v>
      </c>
      <c r="G76" s="14">
        <v>0</v>
      </c>
      <c r="H76" s="14">
        <v>0</v>
      </c>
      <c r="I76" s="14">
        <v>0</v>
      </c>
      <c r="J76" s="14">
        <v>0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3</v>
      </c>
      <c r="D77" s="14">
        <v>1</v>
      </c>
      <c r="E77" s="14">
        <v>4</v>
      </c>
      <c r="F77" s="14">
        <v>3</v>
      </c>
      <c r="G77" s="14">
        <v>-4</v>
      </c>
      <c r="H77" s="14">
        <v>-1</v>
      </c>
      <c r="I77" s="14">
        <v>10</v>
      </c>
      <c r="J77" s="14">
        <v>3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59</v>
      </c>
      <c r="D78" s="14">
        <v>64</v>
      </c>
      <c r="E78" s="14">
        <v>73</v>
      </c>
      <c r="F78" s="14">
        <v>68</v>
      </c>
      <c r="G78" s="14">
        <v>72</v>
      </c>
      <c r="H78" s="14">
        <v>68</v>
      </c>
      <c r="I78" s="14">
        <v>59</v>
      </c>
      <c r="J78" s="14">
        <v>71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10</v>
      </c>
      <c r="D79" s="14">
        <v>15</v>
      </c>
      <c r="E79" s="14">
        <v>11</v>
      </c>
      <c r="F79" s="14">
        <v>12</v>
      </c>
      <c r="G79" s="14">
        <v>14</v>
      </c>
      <c r="H79" s="14">
        <v>13</v>
      </c>
      <c r="I79" s="14">
        <v>12</v>
      </c>
      <c r="J79" s="14">
        <v>15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49</v>
      </c>
      <c r="D80" s="14">
        <v>49</v>
      </c>
      <c r="E80" s="14">
        <v>62</v>
      </c>
      <c r="F80" s="14">
        <v>56</v>
      </c>
      <c r="G80" s="14">
        <v>58</v>
      </c>
      <c r="H80" s="14">
        <v>54</v>
      </c>
      <c r="I80" s="14">
        <v>47</v>
      </c>
      <c r="J80" s="14">
        <v>55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49</v>
      </c>
      <c r="D84" s="14">
        <v>49</v>
      </c>
      <c r="E84" s="14">
        <v>62</v>
      </c>
      <c r="F84" s="14">
        <v>56</v>
      </c>
      <c r="G84" s="14">
        <v>58</v>
      </c>
      <c r="H84" s="14">
        <v>54</v>
      </c>
      <c r="I84" s="14">
        <v>47</v>
      </c>
      <c r="J84" s="14">
        <v>55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-1</v>
      </c>
      <c r="E86" s="14">
        <v>-1</v>
      </c>
      <c r="F86" s="14">
        <v>-1</v>
      </c>
      <c r="G86" s="14">
        <v>-1</v>
      </c>
      <c r="H86" s="14">
        <v>-1</v>
      </c>
      <c r="I86" s="14">
        <v>-2</v>
      </c>
      <c r="J86" s="14">
        <v>1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49</v>
      </c>
      <c r="D88" s="14">
        <v>50</v>
      </c>
      <c r="E88" s="14">
        <v>63</v>
      </c>
      <c r="F88" s="14">
        <v>57</v>
      </c>
      <c r="G88" s="14">
        <v>59</v>
      </c>
      <c r="H88" s="14">
        <v>55</v>
      </c>
      <c r="I88" s="14">
        <v>49</v>
      </c>
      <c r="J88" s="14">
        <v>54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1.39</v>
      </c>
      <c r="D89" s="14">
        <v>1.44</v>
      </c>
      <c r="E89" s="14">
        <v>1.79</v>
      </c>
      <c r="F89" s="14">
        <v>1.63</v>
      </c>
      <c r="G89" s="14">
        <v>1.69</v>
      </c>
      <c r="H89" s="14">
        <v>1.57</v>
      </c>
      <c r="I89" s="14">
        <v>1.39</v>
      </c>
      <c r="J89" s="14">
        <v>1.55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1.39</v>
      </c>
      <c r="D90" s="14">
        <v>1.44</v>
      </c>
      <c r="E90" s="14">
        <v>1.79</v>
      </c>
      <c r="F90" s="14" t="s">
        <v>98</v>
      </c>
      <c r="G90" s="14">
        <v>1.68</v>
      </c>
      <c r="H90" s="14">
        <v>1.57</v>
      </c>
      <c r="I90" s="14">
        <v>1.39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350</v>
      </c>
      <c r="D91" s="14">
        <v>350</v>
      </c>
      <c r="E91" s="14">
        <v>350</v>
      </c>
      <c r="F91" s="14">
        <v>350</v>
      </c>
      <c r="G91" s="14">
        <v>350</v>
      </c>
      <c r="H91" s="14">
        <v>350</v>
      </c>
      <c r="I91" s="14">
        <v>350</v>
      </c>
      <c r="J91" s="14">
        <v>350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59</v>
      </c>
      <c r="D96" s="14">
        <v>65</v>
      </c>
      <c r="E96" s="14">
        <v>74</v>
      </c>
      <c r="F96" s="14">
        <v>69</v>
      </c>
      <c r="G96" s="14">
        <v>72</v>
      </c>
      <c r="H96" s="14">
        <v>68</v>
      </c>
      <c r="I96" s="14">
        <v>59</v>
      </c>
      <c r="J96" s="14">
        <v>71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69</v>
      </c>
      <c r="D97" s="14">
        <v>74</v>
      </c>
      <c r="E97" s="14">
        <v>83</v>
      </c>
      <c r="F97" s="14">
        <v>78</v>
      </c>
      <c r="G97" s="14">
        <v>81</v>
      </c>
      <c r="H97" s="14">
        <v>77</v>
      </c>
      <c r="I97" s="14">
        <v>68</v>
      </c>
      <c r="J97" s="14">
        <v>79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48</v>
      </c>
      <c r="D98" s="14">
        <v>49</v>
      </c>
      <c r="E98" s="14">
        <v>47</v>
      </c>
      <c r="F98" s="14">
        <v>61</v>
      </c>
      <c r="G98" s="14">
        <v>62</v>
      </c>
      <c r="H98" s="14">
        <v>52</v>
      </c>
      <c r="I98" s="14">
        <v>42</v>
      </c>
      <c r="J98" s="14">
        <v>61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2059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162</v>
      </c>
      <c r="D125" s="14">
        <v>188</v>
      </c>
      <c r="E125" s="14">
        <v>219</v>
      </c>
      <c r="F125" s="14">
        <v>227</v>
      </c>
      <c r="G125" s="14">
        <v>171</v>
      </c>
      <c r="H125" s="14">
        <v>202</v>
      </c>
      <c r="I125" s="14">
        <v>195</v>
      </c>
      <c r="J125" s="14">
        <v>272</v>
      </c>
      <c r="AA125" s="127"/>
    </row>
    <row r="126" spans="2:27" s="3" customFormat="1">
      <c r="B126" s="3" t="s">
        <v>153</v>
      </c>
      <c r="C126" s="14">
        <v>178</v>
      </c>
      <c r="D126" s="14">
        <v>251</v>
      </c>
      <c r="E126" s="14">
        <v>177</v>
      </c>
      <c r="F126" s="14">
        <v>114</v>
      </c>
      <c r="G126" s="14">
        <v>84</v>
      </c>
      <c r="H126" s="14">
        <v>185</v>
      </c>
      <c r="I126" s="14">
        <v>34</v>
      </c>
      <c r="J126" s="14">
        <v>34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969</v>
      </c>
      <c r="D127" s="14">
        <v>966</v>
      </c>
      <c r="E127" s="14">
        <v>931</v>
      </c>
      <c r="F127" s="14">
        <v>977</v>
      </c>
      <c r="G127" s="14">
        <v>972</v>
      </c>
      <c r="H127" s="14">
        <v>964</v>
      </c>
      <c r="I127" s="14">
        <v>922</v>
      </c>
      <c r="J127" s="14">
        <v>941</v>
      </c>
      <c r="AA127" s="127"/>
    </row>
    <row r="128" spans="2:27" s="3" customFormat="1">
      <c r="B128" s="3" t="s">
        <v>154</v>
      </c>
      <c r="C128" s="14">
        <v>5</v>
      </c>
      <c r="D128" s="14">
        <v>6</v>
      </c>
      <c r="E128" s="14">
        <v>9</v>
      </c>
      <c r="F128" s="14">
        <v>11</v>
      </c>
      <c r="G128" s="14">
        <v>16</v>
      </c>
      <c r="H128" s="14">
        <v>6</v>
      </c>
      <c r="I128" s="14">
        <v>5</v>
      </c>
      <c r="J128" s="14">
        <v>10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60</v>
      </c>
      <c r="F129" s="14">
        <v>30</v>
      </c>
      <c r="G129" s="14">
        <v>0</v>
      </c>
      <c r="H129" s="14">
        <v>0</v>
      </c>
      <c r="I129" s="14">
        <v>110</v>
      </c>
      <c r="J129" s="14">
        <v>110</v>
      </c>
      <c r="AA129" s="127"/>
    </row>
    <row r="130" spans="2:27" s="3" customFormat="1">
      <c r="B130" s="3" t="s">
        <v>15</v>
      </c>
      <c r="C130" s="14">
        <v>464</v>
      </c>
      <c r="D130" s="14">
        <v>401</v>
      </c>
      <c r="E130" s="14">
        <v>415</v>
      </c>
      <c r="F130" s="14">
        <v>371</v>
      </c>
      <c r="G130" s="14">
        <v>370</v>
      </c>
      <c r="H130" s="14">
        <v>357</v>
      </c>
      <c r="I130" s="14">
        <v>331</v>
      </c>
      <c r="J130" s="14">
        <v>336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19</v>
      </c>
      <c r="D132" s="14">
        <v>29</v>
      </c>
      <c r="E132" s="14">
        <v>17</v>
      </c>
      <c r="F132" s="14">
        <v>26</v>
      </c>
      <c r="G132" s="14">
        <v>23</v>
      </c>
      <c r="H132" s="14">
        <v>22</v>
      </c>
      <c r="I132" s="14">
        <v>24</v>
      </c>
      <c r="J132" s="14">
        <v>19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3</v>
      </c>
      <c r="D133" s="14">
        <v>3</v>
      </c>
      <c r="E133" s="14">
        <v>2</v>
      </c>
      <c r="F133" s="14">
        <v>1</v>
      </c>
      <c r="G133" s="14">
        <v>3</v>
      </c>
      <c r="H133" s="14">
        <v>4</v>
      </c>
      <c r="I133" s="14">
        <v>3</v>
      </c>
      <c r="J133" s="14">
        <v>3</v>
      </c>
      <c r="AA133" s="127"/>
    </row>
    <row r="134" spans="2:27" s="3" customFormat="1">
      <c r="B134" s="3" t="s">
        <v>157</v>
      </c>
      <c r="C134" s="14">
        <v>1806</v>
      </c>
      <c r="D134" s="14">
        <v>1853</v>
      </c>
      <c r="E134" s="14">
        <v>1839</v>
      </c>
      <c r="F134" s="14">
        <v>1781</v>
      </c>
      <c r="G134" s="14">
        <v>1644</v>
      </c>
      <c r="H134" s="14">
        <v>1746</v>
      </c>
      <c r="I134" s="14">
        <v>1630</v>
      </c>
      <c r="J134" s="14">
        <v>1748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74</v>
      </c>
      <c r="D135" s="14">
        <v>73</v>
      </c>
      <c r="E135" s="14">
        <v>74</v>
      </c>
      <c r="F135" s="14">
        <v>125</v>
      </c>
      <c r="G135" s="14">
        <v>125</v>
      </c>
      <c r="H135" s="14">
        <v>126</v>
      </c>
      <c r="I135" s="14">
        <v>128</v>
      </c>
      <c r="J135" s="14">
        <v>130</v>
      </c>
      <c r="AA135" s="127"/>
    </row>
    <row r="136" spans="2:27" s="3" customFormat="1">
      <c r="B136" s="3" t="s">
        <v>159</v>
      </c>
      <c r="C136" s="14" t="s">
        <v>98</v>
      </c>
      <c r="D136" s="14" t="s">
        <v>98</v>
      </c>
      <c r="E136" s="14" t="s">
        <v>98</v>
      </c>
      <c r="F136" s="14">
        <v>117</v>
      </c>
      <c r="G136" s="14" t="s">
        <v>98</v>
      </c>
      <c r="H136" s="14" t="s">
        <v>98</v>
      </c>
      <c r="I136" s="14" t="s">
        <v>98</v>
      </c>
      <c r="J136" s="14">
        <v>117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 t="s">
        <v>98</v>
      </c>
      <c r="D137" s="14" t="s">
        <v>98</v>
      </c>
      <c r="E137" s="14" t="s">
        <v>98</v>
      </c>
      <c r="F137" s="14">
        <v>121</v>
      </c>
      <c r="G137" s="14" t="s">
        <v>98</v>
      </c>
      <c r="H137" s="14" t="s">
        <v>98</v>
      </c>
      <c r="I137" s="14" t="s">
        <v>98</v>
      </c>
      <c r="J137" s="14">
        <v>121</v>
      </c>
      <c r="AA137" s="127"/>
    </row>
    <row r="138" spans="2:27" s="3" customFormat="1">
      <c r="B138" s="3" t="s">
        <v>161</v>
      </c>
      <c r="C138" s="14" t="s">
        <v>98</v>
      </c>
      <c r="D138" s="14" t="s">
        <v>98</v>
      </c>
      <c r="E138" s="14" t="s">
        <v>98</v>
      </c>
      <c r="F138" s="14">
        <v>0</v>
      </c>
      <c r="G138" s="14" t="s">
        <v>98</v>
      </c>
      <c r="H138" s="14" t="s">
        <v>98</v>
      </c>
      <c r="I138" s="14" t="s">
        <v>98</v>
      </c>
      <c r="J138" s="14">
        <v>0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 t="s">
        <v>98</v>
      </c>
      <c r="D139" s="14" t="s">
        <v>98</v>
      </c>
      <c r="E139" s="14" t="s">
        <v>98</v>
      </c>
      <c r="F139" s="14">
        <v>238</v>
      </c>
      <c r="G139" s="14" t="s">
        <v>98</v>
      </c>
      <c r="H139" s="14" t="s">
        <v>98</v>
      </c>
      <c r="I139" s="14" t="s">
        <v>98</v>
      </c>
      <c r="J139" s="14">
        <v>218</v>
      </c>
      <c r="AA139" s="127"/>
    </row>
    <row r="140" spans="2:27" s="3" customFormat="1">
      <c r="B140" s="3" t="s">
        <v>163</v>
      </c>
      <c r="C140" s="14" t="s">
        <v>98</v>
      </c>
      <c r="D140" s="14" t="s">
        <v>98</v>
      </c>
      <c r="E140" s="14" t="s">
        <v>98</v>
      </c>
      <c r="F140" s="14">
        <v>0</v>
      </c>
      <c r="G140" s="14" t="s">
        <v>98</v>
      </c>
      <c r="H140" s="14" t="s">
        <v>98</v>
      </c>
      <c r="I140" s="14" t="s">
        <v>98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 t="s">
        <v>98</v>
      </c>
      <c r="D141" s="14" t="s">
        <v>98</v>
      </c>
      <c r="E141" s="14" t="s">
        <v>98</v>
      </c>
      <c r="F141" s="14">
        <v>-132</v>
      </c>
      <c r="G141" s="14" t="s">
        <v>98</v>
      </c>
      <c r="H141" s="14" t="s">
        <v>98</v>
      </c>
      <c r="I141" s="14" t="s">
        <v>98</v>
      </c>
      <c r="J141" s="14">
        <v>-119</v>
      </c>
      <c r="AA141" s="127"/>
    </row>
    <row r="142" spans="2:27" s="3" customFormat="1">
      <c r="B142" s="3" t="s">
        <v>165</v>
      </c>
      <c r="C142" s="14" t="s">
        <v>98</v>
      </c>
      <c r="D142" s="14" t="s">
        <v>98</v>
      </c>
      <c r="E142" s="14" t="s">
        <v>98</v>
      </c>
      <c r="F142" s="14">
        <v>0</v>
      </c>
      <c r="G142" s="14" t="s">
        <v>98</v>
      </c>
      <c r="H142" s="14" t="s">
        <v>98</v>
      </c>
      <c r="I142" s="14" t="s">
        <v>98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 t="s">
        <v>98</v>
      </c>
      <c r="D143" s="14" t="s">
        <v>98</v>
      </c>
      <c r="E143" s="14" t="s">
        <v>98</v>
      </c>
      <c r="F143" s="14">
        <v>0</v>
      </c>
      <c r="G143" s="14" t="s">
        <v>98</v>
      </c>
      <c r="H143" s="14" t="s">
        <v>98</v>
      </c>
      <c r="I143" s="14" t="s">
        <v>98</v>
      </c>
      <c r="J143" s="14">
        <v>0</v>
      </c>
      <c r="AA143" s="127"/>
    </row>
    <row r="144" spans="2:27" s="3" customFormat="1">
      <c r="B144" s="3" t="s">
        <v>167</v>
      </c>
      <c r="C144" s="14">
        <v>347</v>
      </c>
      <c r="D144" s="14">
        <v>350</v>
      </c>
      <c r="E144" s="14">
        <v>343</v>
      </c>
      <c r="F144" s="14">
        <v>344</v>
      </c>
      <c r="G144" s="14">
        <v>350</v>
      </c>
      <c r="H144" s="14">
        <v>339</v>
      </c>
      <c r="I144" s="14">
        <v>335</v>
      </c>
      <c r="J144" s="14">
        <v>338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3</v>
      </c>
      <c r="D145" s="14">
        <v>3</v>
      </c>
      <c r="E145" s="14">
        <v>3</v>
      </c>
      <c r="F145" s="14">
        <v>3</v>
      </c>
      <c r="G145" s="14">
        <v>2</v>
      </c>
      <c r="H145" s="14">
        <v>2</v>
      </c>
      <c r="I145" s="14">
        <v>2</v>
      </c>
      <c r="J145" s="14">
        <v>2</v>
      </c>
      <c r="AA145" s="127"/>
    </row>
    <row r="146" spans="2:27" s="3" customFormat="1">
      <c r="B146" s="3" t="s">
        <v>169</v>
      </c>
      <c r="C146" s="14">
        <v>0</v>
      </c>
      <c r="D146" s="14">
        <v>0</v>
      </c>
      <c r="E146" s="14">
        <v>0</v>
      </c>
      <c r="F146" s="14">
        <v>0</v>
      </c>
      <c r="G146" s="14">
        <v>0</v>
      </c>
      <c r="H146" s="14">
        <v>0</v>
      </c>
      <c r="I146" s="14">
        <v>0</v>
      </c>
      <c r="J146" s="14">
        <v>0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105</v>
      </c>
      <c r="D147" s="14">
        <v>108</v>
      </c>
      <c r="E147" s="14">
        <v>113</v>
      </c>
      <c r="F147" s="14">
        <v>106</v>
      </c>
      <c r="G147" s="14">
        <v>96</v>
      </c>
      <c r="H147" s="14">
        <v>108</v>
      </c>
      <c r="I147" s="14">
        <v>103</v>
      </c>
      <c r="J147" s="14">
        <v>89</v>
      </c>
      <c r="AA147" s="127"/>
    </row>
    <row r="148" spans="2:27" s="3" customFormat="1">
      <c r="B148" s="3" t="s">
        <v>171</v>
      </c>
      <c r="C148" s="14">
        <v>151</v>
      </c>
      <c r="D148" s="14">
        <v>154</v>
      </c>
      <c r="E148" s="14">
        <v>158</v>
      </c>
      <c r="F148" s="14">
        <v>152</v>
      </c>
      <c r="G148" s="14">
        <v>142</v>
      </c>
      <c r="H148" s="14">
        <v>153</v>
      </c>
      <c r="I148" s="14">
        <v>149</v>
      </c>
      <c r="J148" s="14">
        <v>135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2378</v>
      </c>
      <c r="D149" s="14">
        <v>2430</v>
      </c>
      <c r="E149" s="14">
        <v>2414</v>
      </c>
      <c r="F149" s="14">
        <v>2402</v>
      </c>
      <c r="G149" s="14">
        <v>2261</v>
      </c>
      <c r="H149" s="14">
        <v>2364</v>
      </c>
      <c r="I149" s="14">
        <v>2241</v>
      </c>
      <c r="J149" s="14">
        <v>2350</v>
      </c>
      <c r="AA149" s="127"/>
    </row>
    <row r="150" spans="2:27" s="3" customFormat="1">
      <c r="B150" s="3" t="s">
        <v>193</v>
      </c>
      <c r="C150" s="14">
        <v>148</v>
      </c>
      <c r="D150" s="14">
        <v>133</v>
      </c>
      <c r="E150" s="14">
        <v>161</v>
      </c>
      <c r="F150" s="14">
        <v>146</v>
      </c>
      <c r="G150" s="14">
        <v>111</v>
      </c>
      <c r="H150" s="14">
        <v>93</v>
      </c>
      <c r="I150" s="14">
        <v>66</v>
      </c>
      <c r="J150" s="14">
        <v>101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7"/>
    </row>
    <row r="152" spans="2:27" s="3" customFormat="1">
      <c r="B152" s="3" t="s">
        <v>16</v>
      </c>
      <c r="C152" s="14">
        <v>586</v>
      </c>
      <c r="D152" s="14">
        <v>508</v>
      </c>
      <c r="E152" s="14">
        <v>525</v>
      </c>
      <c r="F152" s="14">
        <v>525</v>
      </c>
      <c r="G152" s="14">
        <v>525</v>
      </c>
      <c r="H152" s="14">
        <v>544</v>
      </c>
      <c r="I152" s="14">
        <v>502</v>
      </c>
      <c r="J152" s="14">
        <v>539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  <c r="AA153" s="127"/>
    </row>
    <row r="154" spans="2:27" s="3" customFormat="1">
      <c r="B154" s="3" t="s">
        <v>173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124</v>
      </c>
      <c r="D155" s="14">
        <v>283</v>
      </c>
      <c r="E155" s="14">
        <v>80</v>
      </c>
      <c r="F155" s="14">
        <v>149</v>
      </c>
      <c r="G155" s="14">
        <v>122</v>
      </c>
      <c r="H155" s="14">
        <v>268</v>
      </c>
      <c r="I155" s="14">
        <v>68</v>
      </c>
      <c r="J155" s="14">
        <v>158</v>
      </c>
      <c r="AA155" s="127"/>
    </row>
    <row r="156" spans="2:27" s="3" customFormat="1">
      <c r="B156" s="3" t="s">
        <v>175</v>
      </c>
      <c r="C156" s="14">
        <v>12</v>
      </c>
      <c r="D156" s="14">
        <v>26</v>
      </c>
      <c r="E156" s="14">
        <v>37</v>
      </c>
      <c r="F156" s="14">
        <v>26</v>
      </c>
      <c r="G156" s="14">
        <v>12</v>
      </c>
      <c r="H156" s="14">
        <v>26</v>
      </c>
      <c r="I156" s="14">
        <v>53</v>
      </c>
      <c r="J156" s="14">
        <v>41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  <c r="AA157" s="127"/>
    </row>
    <row r="158" spans="2:27" s="3" customFormat="1">
      <c r="B158" s="3" t="s">
        <v>177</v>
      </c>
      <c r="C158" s="14">
        <v>11</v>
      </c>
      <c r="D158" s="14">
        <v>12</v>
      </c>
      <c r="E158" s="14">
        <v>15</v>
      </c>
      <c r="F158" s="14">
        <v>19</v>
      </c>
      <c r="G158" s="14">
        <v>9</v>
      </c>
      <c r="H158" s="14">
        <v>13</v>
      </c>
      <c r="I158" s="14">
        <v>10</v>
      </c>
      <c r="J158" s="14">
        <v>13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879</v>
      </c>
      <c r="D159" s="14">
        <v>961</v>
      </c>
      <c r="E159" s="14">
        <v>818</v>
      </c>
      <c r="F159" s="14">
        <v>867</v>
      </c>
      <c r="G159" s="14">
        <v>782</v>
      </c>
      <c r="H159" s="14">
        <v>944</v>
      </c>
      <c r="I159" s="14">
        <v>699</v>
      </c>
      <c r="J159" s="14">
        <v>856</v>
      </c>
      <c r="AA159" s="127"/>
    </row>
    <row r="160" spans="2:27" s="3" customFormat="1">
      <c r="B160" s="3" t="s">
        <v>179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12</v>
      </c>
      <c r="D163" s="14">
        <v>12</v>
      </c>
      <c r="E163" s="14">
        <v>12</v>
      </c>
      <c r="F163" s="14">
        <v>12</v>
      </c>
      <c r="G163" s="14">
        <v>12</v>
      </c>
      <c r="H163" s="14">
        <v>12</v>
      </c>
      <c r="I163" s="14">
        <v>12</v>
      </c>
      <c r="J163" s="14">
        <v>12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7"/>
    </row>
    <row r="166" spans="2:27" s="3" customFormat="1">
      <c r="B166" s="3" t="s">
        <v>185</v>
      </c>
      <c r="C166" s="14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4">
        <v>0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12</v>
      </c>
      <c r="D167" s="14">
        <v>12</v>
      </c>
      <c r="E167" s="14">
        <v>12</v>
      </c>
      <c r="F167" s="14">
        <v>12</v>
      </c>
      <c r="G167" s="14">
        <v>12</v>
      </c>
      <c r="H167" s="14">
        <v>12</v>
      </c>
      <c r="I167" s="14">
        <v>12</v>
      </c>
      <c r="J167" s="14">
        <v>12</v>
      </c>
      <c r="AA167" s="127"/>
    </row>
    <row r="168" spans="2:27" s="3" customFormat="1">
      <c r="B168" s="3" t="s">
        <v>17</v>
      </c>
      <c r="C168" s="14">
        <v>891</v>
      </c>
      <c r="D168" s="14">
        <v>973</v>
      </c>
      <c r="E168" s="14">
        <v>830</v>
      </c>
      <c r="F168" s="14">
        <v>879</v>
      </c>
      <c r="G168" s="14">
        <v>794</v>
      </c>
      <c r="H168" s="14">
        <v>956</v>
      </c>
      <c r="I168" s="14">
        <v>712</v>
      </c>
      <c r="J168" s="14">
        <v>869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1487</v>
      </c>
      <c r="D169" s="14">
        <v>1458</v>
      </c>
      <c r="E169" s="14">
        <v>1584</v>
      </c>
      <c r="F169" s="14">
        <v>1523</v>
      </c>
      <c r="G169" s="14">
        <v>1467</v>
      </c>
      <c r="H169" s="14">
        <v>1407</v>
      </c>
      <c r="I169" s="14">
        <v>1529</v>
      </c>
      <c r="J169" s="14">
        <v>1481</v>
      </c>
      <c r="AA169" s="127"/>
    </row>
    <row r="170" spans="2:27" s="3" customFormat="1">
      <c r="B170" s="3" t="s">
        <v>195</v>
      </c>
      <c r="C170" s="14">
        <v>350</v>
      </c>
      <c r="D170" s="14">
        <v>350</v>
      </c>
      <c r="E170" s="14">
        <v>350</v>
      </c>
      <c r="F170" s="14">
        <v>350</v>
      </c>
      <c r="G170" s="14">
        <v>350</v>
      </c>
      <c r="H170" s="14">
        <v>350</v>
      </c>
      <c r="I170" s="14">
        <v>350</v>
      </c>
      <c r="J170" s="14">
        <v>350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662</v>
      </c>
      <c r="D172" s="14">
        <v>662</v>
      </c>
      <c r="E172" s="14">
        <v>662</v>
      </c>
      <c r="F172" s="14">
        <v>662</v>
      </c>
      <c r="G172" s="14">
        <v>662</v>
      </c>
      <c r="H172" s="14">
        <v>662</v>
      </c>
      <c r="I172" s="14">
        <v>662</v>
      </c>
      <c r="J172" s="14">
        <v>658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183</v>
      </c>
      <c r="D173" s="14">
        <v>183</v>
      </c>
      <c r="E173" s="14">
        <v>161</v>
      </c>
      <c r="F173" s="14">
        <v>161</v>
      </c>
      <c r="G173" s="14">
        <v>161</v>
      </c>
      <c r="H173" s="14">
        <v>161</v>
      </c>
      <c r="I173" s="14">
        <v>139</v>
      </c>
      <c r="J173" s="14">
        <v>139</v>
      </c>
      <c r="AA173" s="127"/>
    </row>
    <row r="174" spans="2:27" s="3" customFormat="1">
      <c r="B174" s="3" t="s">
        <v>199</v>
      </c>
      <c r="C174" s="14">
        <v>0</v>
      </c>
      <c r="D174" s="14">
        <v>0</v>
      </c>
      <c r="E174" s="14">
        <v>3</v>
      </c>
      <c r="F174" s="14">
        <v>3</v>
      </c>
      <c r="G174" s="14">
        <v>3</v>
      </c>
      <c r="H174" s="14">
        <v>3</v>
      </c>
      <c r="I174" s="14">
        <v>1</v>
      </c>
      <c r="J174" s="14">
        <v>1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288</v>
      </c>
      <c r="D175" s="14">
        <v>240</v>
      </c>
      <c r="E175" s="14">
        <v>383</v>
      </c>
      <c r="F175" s="14">
        <v>320</v>
      </c>
      <c r="G175" s="14">
        <v>266</v>
      </c>
      <c r="H175" s="14">
        <v>207</v>
      </c>
      <c r="I175" s="14">
        <v>351</v>
      </c>
      <c r="J175" s="14">
        <v>303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24</v>
      </c>
      <c r="E177" s="14">
        <v>25</v>
      </c>
      <c r="F177" s="14">
        <v>26</v>
      </c>
      <c r="G177" s="14">
        <v>27</v>
      </c>
      <c r="H177" s="14">
        <v>27</v>
      </c>
      <c r="I177" s="14">
        <v>28</v>
      </c>
      <c r="J177" s="14">
        <v>33</v>
      </c>
      <c r="AA177" s="127"/>
    </row>
    <row r="178" spans="2:27" s="3" customFormat="1">
      <c r="B178" s="3" t="s">
        <v>189</v>
      </c>
      <c r="C178" s="14">
        <v>2378</v>
      </c>
      <c r="D178" s="14">
        <v>2430</v>
      </c>
      <c r="E178" s="14">
        <v>2414</v>
      </c>
      <c r="F178" s="14">
        <v>2402</v>
      </c>
      <c r="G178" s="14">
        <v>2261</v>
      </c>
      <c r="H178" s="14">
        <v>2364</v>
      </c>
      <c r="I178" s="14">
        <v>2241</v>
      </c>
      <c r="J178" s="14">
        <v>2350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2058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49</v>
      </c>
      <c r="D224" s="14">
        <v>49</v>
      </c>
      <c r="E224" s="14">
        <v>62</v>
      </c>
      <c r="F224" s="14">
        <v>56</v>
      </c>
      <c r="G224" s="14">
        <v>58</v>
      </c>
      <c r="H224" s="14">
        <v>54</v>
      </c>
      <c r="I224" s="14">
        <v>47</v>
      </c>
      <c r="J224" s="14">
        <v>55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10</v>
      </c>
      <c r="D226" s="14">
        <v>9</v>
      </c>
      <c r="E226" s="14">
        <v>9</v>
      </c>
      <c r="F226" s="14">
        <v>9</v>
      </c>
      <c r="G226" s="14">
        <v>9</v>
      </c>
      <c r="H226" s="14">
        <v>9</v>
      </c>
      <c r="I226" s="14">
        <v>9</v>
      </c>
      <c r="J226" s="14">
        <v>8</v>
      </c>
      <c r="AA226" s="62"/>
    </row>
    <row r="227" spans="2:27" s="3" customFormat="1">
      <c r="B227" s="3" t="s">
        <v>115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  <c r="P227" s="137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3</v>
      </c>
      <c r="F229" s="14">
        <v>0</v>
      </c>
      <c r="G229" s="14">
        <v>1</v>
      </c>
      <c r="H229" s="14">
        <v>2</v>
      </c>
      <c r="I229" s="14">
        <v>2</v>
      </c>
      <c r="J229" s="14">
        <v>5</v>
      </c>
      <c r="P229" s="137"/>
      <c r="W229" s="14"/>
      <c r="AA229" s="62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0</v>
      </c>
      <c r="D232" s="14">
        <v>0</v>
      </c>
      <c r="E232" s="14">
        <v>0</v>
      </c>
      <c r="F232" s="14">
        <v>1</v>
      </c>
      <c r="G232" s="14">
        <v>0</v>
      </c>
      <c r="H232" s="14">
        <v>0</v>
      </c>
      <c r="I232" s="14">
        <v>0</v>
      </c>
      <c r="J232" s="14">
        <v>1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-15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62"/>
    </row>
    <row r="235" spans="2:27">
      <c r="B235" s="3" t="s">
        <v>123</v>
      </c>
      <c r="C235" s="14">
        <v>-2</v>
      </c>
      <c r="D235" s="14">
        <v>-36</v>
      </c>
      <c r="E235" s="14">
        <v>46</v>
      </c>
      <c r="F235" s="14">
        <v>-5</v>
      </c>
      <c r="G235" s="14">
        <v>-8</v>
      </c>
      <c r="H235" s="14">
        <v>-43</v>
      </c>
      <c r="I235" s="14">
        <v>19</v>
      </c>
      <c r="J235" s="14">
        <v>14</v>
      </c>
      <c r="P235" s="67"/>
      <c r="W235" s="46"/>
    </row>
    <row r="236" spans="2:27">
      <c r="B236" s="3" t="s">
        <v>124</v>
      </c>
      <c r="C236" s="14">
        <v>-63</v>
      </c>
      <c r="D236" s="14">
        <v>14</v>
      </c>
      <c r="E236" s="14">
        <v>-44</v>
      </c>
      <c r="F236" s="14">
        <v>-1</v>
      </c>
      <c r="G236" s="14">
        <v>-13</v>
      </c>
      <c r="H236" s="14">
        <v>-26</v>
      </c>
      <c r="I236" s="14">
        <v>5</v>
      </c>
      <c r="J236" s="14">
        <v>22</v>
      </c>
    </row>
    <row r="237" spans="2:27">
      <c r="B237" s="3" t="s">
        <v>125</v>
      </c>
      <c r="C237" s="14">
        <v>77</v>
      </c>
      <c r="D237" s="14">
        <v>-16</v>
      </c>
      <c r="E237" s="14">
        <v>-1</v>
      </c>
      <c r="F237" s="14">
        <v>1</v>
      </c>
      <c r="G237" s="14">
        <v>-20</v>
      </c>
      <c r="H237" s="14">
        <v>43</v>
      </c>
      <c r="I237" s="14">
        <v>-38</v>
      </c>
      <c r="J237" s="14">
        <v>4</v>
      </c>
      <c r="P237" s="67"/>
      <c r="W237" s="46"/>
    </row>
    <row r="238" spans="2:27">
      <c r="B238" s="3" t="s">
        <v>126</v>
      </c>
      <c r="C238" s="14">
        <v>14</v>
      </c>
      <c r="D238" s="14">
        <v>-3</v>
      </c>
      <c r="E238" s="14">
        <v>-45</v>
      </c>
      <c r="F238" s="14">
        <v>15</v>
      </c>
      <c r="G238" s="14">
        <v>-4</v>
      </c>
      <c r="H238" s="14">
        <v>-3</v>
      </c>
      <c r="I238" s="14">
        <v>-67</v>
      </c>
      <c r="J238" s="14">
        <v>-25</v>
      </c>
    </row>
    <row r="239" spans="2:27">
      <c r="B239" s="3" t="s">
        <v>19</v>
      </c>
      <c r="C239" s="14">
        <v>158</v>
      </c>
      <c r="D239" s="14">
        <v>-58</v>
      </c>
      <c r="E239" s="14">
        <v>-49</v>
      </c>
      <c r="F239" s="14">
        <v>47</v>
      </c>
      <c r="G239" s="14">
        <v>128</v>
      </c>
      <c r="H239" s="14">
        <v>-116</v>
      </c>
      <c r="I239" s="14">
        <v>-27</v>
      </c>
      <c r="J239" s="14">
        <v>90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63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5</v>
      </c>
    </row>
    <row r="243" spans="2:23">
      <c r="B243" s="3" t="s">
        <v>129</v>
      </c>
      <c r="C243" s="14">
        <v>0</v>
      </c>
      <c r="D243" s="14">
        <v>1</v>
      </c>
      <c r="E243" s="14">
        <v>0</v>
      </c>
      <c r="F243" s="14">
        <v>3</v>
      </c>
      <c r="G243" s="14">
        <v>1</v>
      </c>
      <c r="H243" s="14">
        <v>0</v>
      </c>
      <c r="I243" s="14">
        <v>0</v>
      </c>
      <c r="J243" s="14">
        <v>1</v>
      </c>
      <c r="P243" s="67"/>
      <c r="W243" s="46"/>
    </row>
    <row r="244" spans="2:23">
      <c r="B244" s="3" t="s">
        <v>20</v>
      </c>
      <c r="C244" s="14">
        <v>-4</v>
      </c>
      <c r="D244" s="14">
        <v>-4</v>
      </c>
      <c r="E244" s="14">
        <v>-7</v>
      </c>
      <c r="F244" s="14">
        <v>10</v>
      </c>
      <c r="G244" s="14">
        <v>-14</v>
      </c>
      <c r="H244" s="14">
        <v>-9</v>
      </c>
      <c r="I244" s="14">
        <v>-16</v>
      </c>
      <c r="J244" s="14">
        <v>-9</v>
      </c>
    </row>
    <row r="245" spans="2:23">
      <c r="B245" s="3" t="s">
        <v>130</v>
      </c>
      <c r="C245" s="14">
        <v>0</v>
      </c>
      <c r="D245" s="14">
        <v>60</v>
      </c>
      <c r="E245" s="14">
        <v>-30</v>
      </c>
      <c r="F245" s="14">
        <v>-38</v>
      </c>
      <c r="G245" s="14">
        <v>7</v>
      </c>
      <c r="H245" s="14">
        <v>106</v>
      </c>
      <c r="I245" s="14">
        <v>-1</v>
      </c>
      <c r="J245" s="14">
        <v>-6</v>
      </c>
      <c r="P245" s="67"/>
      <c r="W245" s="46"/>
    </row>
    <row r="246" spans="2:23">
      <c r="B246" s="3" t="s">
        <v>131</v>
      </c>
      <c r="C246" s="14">
        <v>-4</v>
      </c>
      <c r="D246" s="14">
        <v>56</v>
      </c>
      <c r="E246" s="14">
        <v>26</v>
      </c>
      <c r="F246" s="14">
        <v>-25</v>
      </c>
      <c r="G246" s="14">
        <v>-6</v>
      </c>
      <c r="H246" s="14">
        <v>97</v>
      </c>
      <c r="I246" s="14">
        <v>-17</v>
      </c>
      <c r="J246" s="14">
        <v>-9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-175</v>
      </c>
      <c r="D248" s="14">
        <v>0</v>
      </c>
      <c r="E248" s="14">
        <v>0</v>
      </c>
      <c r="F248" s="14">
        <v>0</v>
      </c>
      <c r="G248" s="14">
        <v>-175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16</v>
      </c>
      <c r="D250" s="14">
        <v>-29</v>
      </c>
      <c r="E250" s="14">
        <v>15</v>
      </c>
      <c r="F250" s="14">
        <v>35</v>
      </c>
      <c r="G250" s="14">
        <v>18</v>
      </c>
      <c r="H250" s="14">
        <v>27</v>
      </c>
      <c r="I250" s="14">
        <v>-35</v>
      </c>
      <c r="J250" s="14">
        <v>25</v>
      </c>
    </row>
    <row r="251" spans="2:23">
      <c r="B251" s="3" t="s">
        <v>136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-25</v>
      </c>
      <c r="D255" s="14">
        <v>0</v>
      </c>
      <c r="E255" s="14">
        <v>0</v>
      </c>
      <c r="F255" s="14">
        <v>-3</v>
      </c>
      <c r="G255" s="14">
        <v>3</v>
      </c>
      <c r="H255" s="14">
        <v>0</v>
      </c>
      <c r="I255" s="14">
        <v>0</v>
      </c>
      <c r="J255" s="14">
        <v>9</v>
      </c>
      <c r="P255" s="67"/>
      <c r="W255" s="46"/>
    </row>
    <row r="256" spans="2:23">
      <c r="B256" s="3" t="s">
        <v>141</v>
      </c>
      <c r="C256" s="14">
        <v>-184</v>
      </c>
      <c r="D256" s="14">
        <v>-29</v>
      </c>
      <c r="E256" s="14">
        <v>15</v>
      </c>
      <c r="F256" s="14">
        <v>32</v>
      </c>
      <c r="G256" s="14">
        <v>-154</v>
      </c>
      <c r="H256" s="14">
        <v>27</v>
      </c>
      <c r="I256" s="14">
        <v>-35</v>
      </c>
      <c r="J256" s="14">
        <v>34</v>
      </c>
    </row>
    <row r="257" spans="2:23">
      <c r="B257" s="3" t="s">
        <v>142</v>
      </c>
      <c r="C257" s="14">
        <v>5</v>
      </c>
      <c r="D257" s="14">
        <v>-1</v>
      </c>
      <c r="E257" s="14">
        <v>-1</v>
      </c>
      <c r="F257" s="14">
        <v>3</v>
      </c>
      <c r="G257" s="14">
        <v>1</v>
      </c>
      <c r="H257" s="14">
        <v>-1</v>
      </c>
      <c r="I257" s="14">
        <v>1</v>
      </c>
      <c r="J257" s="14">
        <v>1</v>
      </c>
      <c r="P257" s="67"/>
      <c r="W257" s="46"/>
    </row>
    <row r="258" spans="2:23">
      <c r="B258" s="3" t="s">
        <v>143</v>
      </c>
      <c r="C258" s="14">
        <v>-26</v>
      </c>
      <c r="D258" s="14">
        <v>-31</v>
      </c>
      <c r="E258" s="14">
        <v>-8</v>
      </c>
      <c r="F258" s="14">
        <v>56</v>
      </c>
      <c r="G258" s="14">
        <v>-31</v>
      </c>
      <c r="H258" s="14">
        <v>7</v>
      </c>
      <c r="I258" s="14">
        <v>-77</v>
      </c>
      <c r="J258" s="14">
        <v>116</v>
      </c>
    </row>
    <row r="259" spans="2:23">
      <c r="B259" s="3" t="s">
        <v>144</v>
      </c>
      <c r="C259" s="14">
        <v>188</v>
      </c>
      <c r="D259" s="14">
        <v>219</v>
      </c>
      <c r="E259" s="14">
        <v>227</v>
      </c>
      <c r="F259" s="14">
        <v>171</v>
      </c>
      <c r="G259" s="14">
        <v>202</v>
      </c>
      <c r="H259" s="14">
        <v>195</v>
      </c>
      <c r="I259" s="14">
        <v>272</v>
      </c>
      <c r="J259" s="14">
        <v>156</v>
      </c>
      <c r="P259" s="67"/>
      <c r="W259" s="46"/>
    </row>
    <row r="260" spans="2:23">
      <c r="B260" s="3" t="s">
        <v>145</v>
      </c>
      <c r="C260" s="14">
        <v>162</v>
      </c>
      <c r="D260" s="14">
        <v>188</v>
      </c>
      <c r="E260" s="14">
        <v>219</v>
      </c>
      <c r="F260" s="14">
        <v>227</v>
      </c>
      <c r="G260" s="14">
        <v>171</v>
      </c>
      <c r="H260" s="14">
        <v>202</v>
      </c>
      <c r="I260" s="14">
        <v>195</v>
      </c>
      <c r="J260" s="14">
        <v>272</v>
      </c>
    </row>
    <row r="261" spans="2:23">
      <c r="B261" s="3" t="s">
        <v>146</v>
      </c>
      <c r="C261" s="14">
        <v>1</v>
      </c>
      <c r="D261" s="14">
        <v>0</v>
      </c>
      <c r="E261" s="14">
        <v>0</v>
      </c>
      <c r="F261" s="14">
        <v>0</v>
      </c>
      <c r="G261" s="14">
        <v>0</v>
      </c>
      <c r="H261" s="14">
        <v>0</v>
      </c>
      <c r="I261" s="14">
        <v>0</v>
      </c>
      <c r="J261" s="14">
        <v>0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O55:Y55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</mergeCells>
  <phoneticPr fontId="2" type="noConversion"/>
  <hyperlinks>
    <hyperlink ref="N51" r:id="rId1" display="https://tw.stock.yahoo.com/q/bc?s=1788"/>
    <hyperlink ref="N52" r:id="rId2" display="https://tw.stock.yahoo.com/pf/pfsel?stocklist=1788;"/>
    <hyperlink ref="N54" r:id="rId3" display="https://tw.stock.yahoo.com/pf/pfsel?stocklist=1788;"/>
    <hyperlink ref="Y51" r:id="rId4" display="https://tw.stock.yahoo.com/q/ts?s=1788"/>
    <hyperlink ref="Y54" r:id="rId5" display="https://tw.rd.yahoo.com/referurl/stock/other/SIG=125v47s73/**https:/tw.screener.finance.yahoo.net/screener/check.html?symid=1788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70" r:id="rId10" name="CommandButton32"/>
    <control shapeId="1060" r:id="rId11" name="CommandButton25"/>
    <control shapeId="1059" r:id="rId12" name="CommandButton24"/>
    <control shapeId="1058" r:id="rId13" name="CommandButton23"/>
    <control shapeId="1057" r:id="rId14" name="CommandButton22"/>
    <control shapeId="1056" r:id="rId15" name="CommandButton10"/>
    <control shapeId="1040" r:id="rId16" name="CommandButton3"/>
    <control shapeId="1025" r:id="rId17" name="ComboBox1"/>
    <control shapeId="1026" r:id="rId18" name="CommandButton1"/>
    <control shapeId="1027" r:id="rId19" name="CommandButton2"/>
    <control shapeId="1028" r:id="rId20" name="CommandButton4"/>
    <control shapeId="1029" r:id="rId21" name="CommandButton5"/>
    <control shapeId="1030" r:id="rId22" name="CommandButton6"/>
    <control shapeId="1031" r:id="rId23" name="CommandButton7"/>
    <control shapeId="1032" r:id="rId24" name="CommandButton8"/>
    <control shapeId="1033" r:id="rId25" name="CommandButton9"/>
    <control shapeId="1034" r:id="rId26" name="CommandButton0"/>
    <control shapeId="1042" r:id="rId27" name="CommandButton11"/>
    <control shapeId="1044" r:id="rId28" name="CommandButton12"/>
    <control shapeId="1045" r:id="rId29" name="CommandButton13"/>
    <control shapeId="1047" r:id="rId30" name="CommandButton14"/>
    <control shapeId="1049" r:id="rId31" name="CommandButton15"/>
    <control shapeId="1050" r:id="rId32" name="CommandButton16"/>
    <control shapeId="1051" r:id="rId33" name="CommandButton17"/>
    <control shapeId="1053" r:id="rId34" name="CommandButton19"/>
    <control shapeId="1054" r:id="rId35" name="CommandButton20"/>
    <control shapeId="1055" r:id="rId36" name="CommandButton21"/>
    <control shapeId="1061" r:id="rId37" name="CommandButton26"/>
    <control shapeId="1063" r:id="rId38" name="CommandButton27"/>
    <control shapeId="1065" r:id="rId39" name="CommandButton28"/>
    <control shapeId="1066" r:id="rId40" name="CommandButton29"/>
    <control shapeId="1068" r:id="rId41" name="CommandButton30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tabSelected="1" zoomScaleNormal="100" workbookViewId="0">
      <pane xSplit="13" ySplit="3" topLeftCell="N472" activePane="bottomRight" state="frozen"/>
      <selection pane="topRight" activeCell="N1" sqref="N1"/>
      <selection pane="bottomLeft" activeCell="A4" sqref="A4"/>
      <selection pane="bottomRight" activeCell="A479" sqref="A479:XFD479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57">
        <f ca="1">NOW()</f>
        <v>42377.715041782409</v>
      </c>
      <c r="B1" s="358"/>
      <c r="C1" s="369" t="s">
        <v>1956</v>
      </c>
      <c r="D1" s="370"/>
      <c r="E1" s="370"/>
      <c r="F1" s="370"/>
      <c r="G1" s="371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59" t="s">
        <v>38</v>
      </c>
      <c r="B2" s="360"/>
      <c r="C2" s="361" t="s">
        <v>250</v>
      </c>
      <c r="D2" s="362"/>
      <c r="E2" s="362"/>
      <c r="F2" s="362"/>
      <c r="G2" s="363"/>
      <c r="H2" s="366" t="s">
        <v>253</v>
      </c>
      <c r="I2" s="367"/>
      <c r="J2" s="367"/>
      <c r="K2" s="367"/>
      <c r="L2" s="367"/>
      <c r="M2" s="368"/>
      <c r="N2" s="257" t="s">
        <v>1901</v>
      </c>
      <c r="O2" s="364" t="s">
        <v>1924</v>
      </c>
      <c r="P2" s="364"/>
      <c r="Q2" s="364"/>
      <c r="R2" s="364"/>
      <c r="S2" s="365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17" customFormat="1">
      <c r="A4" s="309" t="str">
        <f>HYPERLINK("http://www.wantgoo.com/stock/chart.aspx?stockno=3474","3474")</f>
        <v>3474</v>
      </c>
      <c r="B4" s="310"/>
      <c r="C4" s="311">
        <f>VLOOKUP(3474,季財報!A:H,3)</f>
        <v>0</v>
      </c>
      <c r="D4" s="311">
        <f>VLOOKUP(3474,季財報!A:H,4)</f>
        <v>1</v>
      </c>
      <c r="E4" s="311">
        <f>VLOOKUP(3474,季財報!A:H,5)</f>
        <v>1</v>
      </c>
      <c r="F4" s="311">
        <f>VLOOKUP(3474,季財報!A:H,6)</f>
        <v>1</v>
      </c>
      <c r="G4" s="311">
        <f>VLOOKUP(3474,季財報!A:H,7)</f>
        <v>0</v>
      </c>
      <c r="H4" s="312"/>
      <c r="I4" s="312"/>
      <c r="J4" s="312"/>
      <c r="K4" s="312"/>
      <c r="L4" s="312"/>
      <c r="M4" s="313"/>
      <c r="N4" s="312">
        <f t="shared" ref="N4:N67" si="0">SUM(C4:M4)</f>
        <v>3</v>
      </c>
      <c r="O4" s="314"/>
      <c r="P4" s="314"/>
      <c r="Q4" s="314"/>
      <c r="R4" s="314"/>
      <c r="S4" s="315"/>
      <c r="T4" s="316"/>
    </row>
    <row r="5" spans="1:23" s="317" customFormat="1">
      <c r="A5" s="309" t="str">
        <f>HYPERLINK("http://www.wantgoo.com/stock/chart.aspx?stockno=2408","2408")</f>
        <v>2408</v>
      </c>
      <c r="B5" s="310"/>
      <c r="C5" s="311">
        <f>VLOOKUP(2408,季財報!A:H,3)</f>
        <v>0</v>
      </c>
      <c r="D5" s="311">
        <f>VLOOKUP(2408,季財報!A:H,4)</f>
        <v>1</v>
      </c>
      <c r="E5" s="311">
        <f>VLOOKUP(2408,季財報!A:H,5)</f>
        <v>0</v>
      </c>
      <c r="F5" s="311">
        <f>VLOOKUP(2408,季財報!A:H,6)</f>
        <v>1</v>
      </c>
      <c r="G5" s="311">
        <f>VLOOKUP(2408,季財報!A:H,7)</f>
        <v>0</v>
      </c>
      <c r="H5" s="312"/>
      <c r="I5" s="312"/>
      <c r="J5" s="312"/>
      <c r="K5" s="312"/>
      <c r="L5" s="312"/>
      <c r="M5" s="313"/>
      <c r="N5" s="312">
        <f t="shared" si="0"/>
        <v>2</v>
      </c>
      <c r="O5" s="314"/>
      <c r="P5" s="314"/>
      <c r="Q5" s="314"/>
      <c r="R5" s="314"/>
      <c r="S5" s="315"/>
      <c r="T5" s="316"/>
    </row>
    <row r="6" spans="1:23" s="317" customFormat="1">
      <c r="A6" s="309" t="str">
        <f>HYPERLINK("http://www.wantgoo.com/stock/chart.aspx?stockno=1704","1704")</f>
        <v>1704</v>
      </c>
      <c r="B6" s="310"/>
      <c r="C6" s="311">
        <f>VLOOKUP(1704,季財報!A:H,3)</f>
        <v>1</v>
      </c>
      <c r="D6" s="311">
        <f>VLOOKUP(1704,季財報!A:H,4)</f>
        <v>1</v>
      </c>
      <c r="E6" s="311">
        <f>VLOOKUP(1704,季財報!A:H,5)</f>
        <v>2</v>
      </c>
      <c r="F6" s="311">
        <f>VLOOKUP(1704,季財報!A:H,6)</f>
        <v>0</v>
      </c>
      <c r="G6" s="311">
        <f>VLOOKUP(1704,季財報!A:H,7)</f>
        <v>0</v>
      </c>
      <c r="H6" s="312"/>
      <c r="I6" s="312"/>
      <c r="J6" s="312"/>
      <c r="K6" s="312"/>
      <c r="L6" s="312"/>
      <c r="M6" s="313"/>
      <c r="N6" s="312">
        <f t="shared" si="0"/>
        <v>4</v>
      </c>
      <c r="O6" s="314"/>
      <c r="P6" s="314"/>
      <c r="Q6" s="314"/>
      <c r="R6" s="314"/>
      <c r="S6" s="315"/>
      <c r="T6" s="316"/>
    </row>
    <row r="7" spans="1:23" s="317" customFormat="1">
      <c r="A7" s="309" t="str">
        <f>HYPERLINK("http://www.wantgoo.com/stock/chart.aspx?stockno=6114","6114")</f>
        <v>6114</v>
      </c>
      <c r="B7" s="310"/>
      <c r="C7" s="311">
        <f>VLOOKUP(6114,季財報!A:H,3)</f>
        <v>0</v>
      </c>
      <c r="D7" s="311">
        <f>VLOOKUP(6114,季財報!A:H,4)</f>
        <v>1</v>
      </c>
      <c r="E7" s="311">
        <f>VLOOKUP(6114,季財報!A:H,5)</f>
        <v>0</v>
      </c>
      <c r="F7" s="311">
        <f>VLOOKUP(6114,季財報!A:H,6)</f>
        <v>1</v>
      </c>
      <c r="G7" s="311">
        <f>VLOOKUP(6114,季財報!A:H,7)</f>
        <v>0</v>
      </c>
      <c r="H7" s="312"/>
      <c r="I7" s="312"/>
      <c r="J7" s="312"/>
      <c r="K7" s="312"/>
      <c r="L7" s="312"/>
      <c r="M7" s="313"/>
      <c r="N7" s="312">
        <f t="shared" si="0"/>
        <v>2</v>
      </c>
      <c r="O7" s="314"/>
      <c r="P7" s="314"/>
      <c r="Q7" s="314"/>
      <c r="R7" s="314"/>
      <c r="S7" s="315"/>
      <c r="T7" s="316"/>
    </row>
    <row r="8" spans="1:23" s="317" customFormat="1">
      <c r="A8" s="309" t="str">
        <f>HYPERLINK("http://www.wantgoo.com/stock/chart.aspx?stockno=6105","6105")</f>
        <v>6105</v>
      </c>
      <c r="B8" s="310"/>
      <c r="C8" s="311">
        <f>VLOOKUP(6105,季財報!A:H,3)</f>
        <v>0</v>
      </c>
      <c r="D8" s="311">
        <f>VLOOKUP(6105,季財報!A:H,4)</f>
        <v>1</v>
      </c>
      <c r="E8" s="311">
        <f>VLOOKUP(6105,季財報!A:H,5)</f>
        <v>0</v>
      </c>
      <c r="F8" s="311">
        <f>VLOOKUP(6105,季財報!A:H,6)</f>
        <v>1</v>
      </c>
      <c r="G8" s="311">
        <f>VLOOKUP(6105,季財報!A:H,7)</f>
        <v>0</v>
      </c>
      <c r="H8" s="312"/>
      <c r="I8" s="312"/>
      <c r="J8" s="312"/>
      <c r="K8" s="312"/>
      <c r="L8" s="312"/>
      <c r="M8" s="313"/>
      <c r="N8" s="312">
        <f t="shared" si="0"/>
        <v>2</v>
      </c>
      <c r="O8" s="314"/>
      <c r="P8" s="314"/>
      <c r="Q8" s="314"/>
      <c r="R8" s="314"/>
      <c r="S8" s="315"/>
      <c r="T8" s="316"/>
    </row>
    <row r="9" spans="1:23" s="317" customFormat="1">
      <c r="A9" s="309" t="str">
        <f>HYPERLINK("http://www.wantgoo.com/stock/chart.aspx?stockno=9943","9943")</f>
        <v>9943</v>
      </c>
      <c r="B9" s="310"/>
      <c r="C9" s="311">
        <f>VLOOKUP(9943,季財報!A:H,3)</f>
        <v>0</v>
      </c>
      <c r="D9" s="311">
        <f>VLOOKUP(9943,季財報!A:H,4)</f>
        <v>1</v>
      </c>
      <c r="E9" s="311">
        <f>VLOOKUP(9943,季財報!A:H,5)</f>
        <v>0</v>
      </c>
      <c r="F9" s="311">
        <f>VLOOKUP(9943,季財報!A:H,6)</f>
        <v>1</v>
      </c>
      <c r="G9" s="311">
        <f>VLOOKUP(9943,季財報!A:H,7)</f>
        <v>0</v>
      </c>
      <c r="H9" s="312"/>
      <c r="I9" s="312"/>
      <c r="J9" s="312"/>
      <c r="K9" s="312"/>
      <c r="L9" s="312"/>
      <c r="M9" s="313"/>
      <c r="N9" s="312">
        <f t="shared" si="0"/>
        <v>2</v>
      </c>
      <c r="O9" s="314"/>
      <c r="P9" s="314"/>
      <c r="Q9" s="314"/>
      <c r="R9" s="314"/>
      <c r="S9" s="315"/>
      <c r="T9" s="316"/>
    </row>
    <row r="10" spans="1:23" s="317" customFormat="1">
      <c r="A10" s="309" t="str">
        <f>HYPERLINK("http://www.wantgoo.com/stock/chart.aspx?stockno=6210","6210")</f>
        <v>6210</v>
      </c>
      <c r="B10" s="310"/>
      <c r="C10" s="311">
        <f>VLOOKUP(6210,季財報!A:H,3)</f>
        <v>0</v>
      </c>
      <c r="D10" s="311">
        <f>VLOOKUP(6210,季財報!A:H,4)</f>
        <v>1</v>
      </c>
      <c r="E10" s="311">
        <f>VLOOKUP(6210,季財報!A:H,5)</f>
        <v>0</v>
      </c>
      <c r="F10" s="311">
        <f>VLOOKUP(6210,季財報!A:H,6)</f>
        <v>1</v>
      </c>
      <c r="G10" s="311">
        <f>VLOOKUP(6210,季財報!A:H,7)</f>
        <v>0</v>
      </c>
      <c r="H10" s="312"/>
      <c r="I10" s="312"/>
      <c r="J10" s="312"/>
      <c r="K10" s="312"/>
      <c r="L10" s="312"/>
      <c r="M10" s="313"/>
      <c r="N10" s="312">
        <f t="shared" si="0"/>
        <v>2</v>
      </c>
      <c r="O10" s="314"/>
      <c r="P10" s="314"/>
      <c r="Q10" s="314"/>
      <c r="R10" s="314"/>
      <c r="S10" s="315"/>
      <c r="T10" s="316"/>
    </row>
    <row r="11" spans="1:23" s="317" customFormat="1">
      <c r="A11" s="309" t="str">
        <f>HYPERLINK("http://www.wantgoo.com/stock/chart.aspx?stockno=3490","3490")</f>
        <v>3490</v>
      </c>
      <c r="B11" s="310"/>
      <c r="C11" s="311">
        <f>VLOOKUP(3490,季財報!A:H,3)</f>
        <v>0</v>
      </c>
      <c r="D11" s="311">
        <f>VLOOKUP(3490,季財報!A:H,4)</f>
        <v>0</v>
      </c>
      <c r="E11" s="311">
        <f>VLOOKUP(3490,季財報!A:H,5)</f>
        <v>0</v>
      </c>
      <c r="F11" s="311">
        <f>VLOOKUP(3490,季財報!A:H,6)</f>
        <v>1</v>
      </c>
      <c r="G11" s="311">
        <f>VLOOKUP(3490,季財報!A:H,7)</f>
        <v>0</v>
      </c>
      <c r="H11" s="312"/>
      <c r="I11" s="312"/>
      <c r="J11" s="312"/>
      <c r="K11" s="312"/>
      <c r="L11" s="312"/>
      <c r="M11" s="313"/>
      <c r="N11" s="312">
        <f t="shared" si="0"/>
        <v>1</v>
      </c>
      <c r="O11" s="314"/>
      <c r="P11" s="314"/>
      <c r="Q11" s="314"/>
      <c r="R11" s="314"/>
      <c r="S11" s="315"/>
      <c r="T11" s="316"/>
    </row>
    <row r="12" spans="1:23" s="317" customFormat="1">
      <c r="A12" s="309" t="str">
        <f>HYPERLINK("http://www.wantgoo.com/stock/chart.aspx?stockno=1464","1464")</f>
        <v>1464</v>
      </c>
      <c r="B12" s="310"/>
      <c r="C12" s="311">
        <f>VLOOKUP(1464,季財報!A:H,3)</f>
        <v>0</v>
      </c>
      <c r="D12" s="311">
        <f>VLOOKUP(1464,季財報!A:H,4)</f>
        <v>1</v>
      </c>
      <c r="E12" s="311">
        <f>VLOOKUP(1464,季財報!A:H,5)</f>
        <v>0</v>
      </c>
      <c r="F12" s="311">
        <f>VLOOKUP(1464,季財報!A:H,6)</f>
        <v>0</v>
      </c>
      <c r="G12" s="311">
        <f>VLOOKUP(1464,季財報!A:H,7)</f>
        <v>0</v>
      </c>
      <c r="H12" s="312"/>
      <c r="I12" s="312"/>
      <c r="J12" s="312"/>
      <c r="K12" s="312"/>
      <c r="L12" s="312"/>
      <c r="M12" s="313"/>
      <c r="N12" s="312">
        <f t="shared" si="0"/>
        <v>1</v>
      </c>
      <c r="O12" s="314"/>
      <c r="P12" s="314"/>
      <c r="Q12" s="314"/>
      <c r="R12" s="314"/>
      <c r="S12" s="315"/>
      <c r="T12" s="316"/>
    </row>
    <row r="13" spans="1:23" s="317" customFormat="1">
      <c r="A13" s="309" t="str">
        <f>HYPERLINK("http://www.wantgoo.com/stock/chart.aspx?stockno=1340","1340")</f>
        <v>1340</v>
      </c>
      <c r="B13" s="310"/>
      <c r="C13" s="311">
        <f>VLOOKUP(1340,季財報!A:H,3)</f>
        <v>0</v>
      </c>
      <c r="D13" s="311">
        <f>VLOOKUP(1340,季財報!A:H,4)</f>
        <v>1</v>
      </c>
      <c r="E13" s="311">
        <f>VLOOKUP(1340,季財報!A:H,5)</f>
        <v>0</v>
      </c>
      <c r="F13" s="311">
        <f>VLOOKUP(1340,季財報!A:H,6)</f>
        <v>1</v>
      </c>
      <c r="G13" s="311">
        <f>VLOOKUP(1340,季財報!A:H,7)</f>
        <v>0</v>
      </c>
      <c r="H13" s="312"/>
      <c r="I13" s="312"/>
      <c r="J13" s="312"/>
      <c r="K13" s="312"/>
      <c r="L13" s="312"/>
      <c r="M13" s="313"/>
      <c r="N13" s="312">
        <f t="shared" si="0"/>
        <v>2</v>
      </c>
      <c r="O13" s="314"/>
      <c r="P13" s="314"/>
      <c r="Q13" s="314"/>
      <c r="R13" s="314"/>
      <c r="S13" s="315"/>
      <c r="T13" s="316"/>
    </row>
    <row r="14" spans="1:23" s="317" customFormat="1">
      <c r="A14" s="309" t="str">
        <f>HYPERLINK("http://www.wantgoo.com/stock/chart.aspx?stockno=5523","5523")</f>
        <v>5523</v>
      </c>
      <c r="B14" s="310"/>
      <c r="C14" s="311">
        <f>VLOOKUP(5523,季財報!A:H,3)</f>
        <v>0</v>
      </c>
      <c r="D14" s="311">
        <f>VLOOKUP(5523,季財報!A:H,4)</f>
        <v>0</v>
      </c>
      <c r="E14" s="311">
        <f>VLOOKUP(5523,季財報!A:H,5)</f>
        <v>0</v>
      </c>
      <c r="F14" s="311">
        <f>VLOOKUP(5523,季財報!A:H,6)</f>
        <v>0</v>
      </c>
      <c r="G14" s="311">
        <f>VLOOKUP(5523,季財報!A:H,7)</f>
        <v>0</v>
      </c>
      <c r="H14" s="312"/>
      <c r="I14" s="312"/>
      <c r="J14" s="312"/>
      <c r="K14" s="312"/>
      <c r="L14" s="312"/>
      <c r="M14" s="313"/>
      <c r="N14" s="312">
        <f t="shared" si="0"/>
        <v>0</v>
      </c>
      <c r="O14" s="314"/>
      <c r="P14" s="314"/>
      <c r="Q14" s="314"/>
      <c r="R14" s="314"/>
      <c r="S14" s="315"/>
      <c r="T14" s="316"/>
    </row>
    <row r="15" spans="1:23" s="317" customFormat="1">
      <c r="A15" s="309" t="str">
        <f>HYPERLINK("http://www.wantgoo.com/stock/chart.aspx?stockno=3564","3564")</f>
        <v>3564</v>
      </c>
      <c r="B15" s="310"/>
      <c r="C15" s="311">
        <f>VLOOKUP(3564,季財報!A:H,3)</f>
        <v>0</v>
      </c>
      <c r="D15" s="311">
        <f>VLOOKUP(3564,季財報!A:H,4)</f>
        <v>1</v>
      </c>
      <c r="E15" s="311">
        <f>VLOOKUP(3564,季財報!A:H,5)</f>
        <v>0</v>
      </c>
      <c r="F15" s="311">
        <f>VLOOKUP(3564,季財報!A:H,6)</f>
        <v>1</v>
      </c>
      <c r="G15" s="311">
        <f>VLOOKUP(3564,季財報!A:H,7)</f>
        <v>1</v>
      </c>
      <c r="H15" s="312"/>
      <c r="I15" s="312"/>
      <c r="J15" s="312"/>
      <c r="K15" s="312"/>
      <c r="L15" s="312"/>
      <c r="M15" s="313"/>
      <c r="N15" s="312">
        <f t="shared" si="0"/>
        <v>3</v>
      </c>
      <c r="O15" s="314"/>
      <c r="P15" s="314"/>
      <c r="Q15" s="314"/>
      <c r="R15" s="314"/>
      <c r="S15" s="315"/>
      <c r="T15" s="316"/>
    </row>
    <row r="16" spans="1:23" s="317" customFormat="1">
      <c r="A16" s="309" t="str">
        <f>HYPERLINK("http://www.wantgoo.com/stock/chart.aspx?stockno=4416","4416")</f>
        <v>4416</v>
      </c>
      <c r="B16" s="310"/>
      <c r="C16" s="311">
        <f>VLOOKUP(4416,季財報!A:H,3)</f>
        <v>0</v>
      </c>
      <c r="D16" s="311">
        <f>VLOOKUP(4416,季財報!A:H,4)</f>
        <v>0</v>
      </c>
      <c r="E16" s="311">
        <f>VLOOKUP(4416,季財報!A:H,5)</f>
        <v>0</v>
      </c>
      <c r="F16" s="311">
        <f>VLOOKUP(4416,季財報!A:H,6)</f>
        <v>0</v>
      </c>
      <c r="G16" s="311">
        <f>VLOOKUP(4416,季財報!A:H,7)</f>
        <v>0</v>
      </c>
      <c r="H16" s="312"/>
      <c r="I16" s="312"/>
      <c r="J16" s="312"/>
      <c r="K16" s="312"/>
      <c r="L16" s="312"/>
      <c r="M16" s="313"/>
      <c r="N16" s="312">
        <f t="shared" si="0"/>
        <v>0</v>
      </c>
      <c r="O16" s="314"/>
      <c r="P16" s="314"/>
      <c r="Q16" s="314"/>
      <c r="R16" s="314"/>
      <c r="S16" s="315"/>
      <c r="T16" s="316"/>
    </row>
    <row r="17" spans="1:20" s="317" customFormat="1">
      <c r="A17" s="309" t="str">
        <f>HYPERLINK("http://www.wantgoo.com/stock/chart.aspx?stockno=6269","6269")</f>
        <v>6269</v>
      </c>
      <c r="B17" s="310"/>
      <c r="C17" s="311">
        <f>VLOOKUP(6269,季財報!A:H,3)</f>
        <v>0</v>
      </c>
      <c r="D17" s="311">
        <f>VLOOKUP(6269,季財報!A:H,4)</f>
        <v>1</v>
      </c>
      <c r="E17" s="311">
        <f>VLOOKUP(6269,季財報!A:H,5)</f>
        <v>0</v>
      </c>
      <c r="F17" s="311">
        <f>VLOOKUP(6269,季財報!A:H,6)</f>
        <v>1</v>
      </c>
      <c r="G17" s="311">
        <f>VLOOKUP(6269,季財報!A:H,7)</f>
        <v>0</v>
      </c>
      <c r="H17" s="312"/>
      <c r="I17" s="312"/>
      <c r="J17" s="312"/>
      <c r="K17" s="312"/>
      <c r="L17" s="312"/>
      <c r="M17" s="313"/>
      <c r="N17" s="312">
        <f t="shared" si="0"/>
        <v>2</v>
      </c>
      <c r="O17" s="314"/>
      <c r="P17" s="314"/>
      <c r="Q17" s="314"/>
      <c r="R17" s="314"/>
      <c r="S17" s="315"/>
      <c r="T17" s="316"/>
    </row>
    <row r="18" spans="1:20" s="317" customFormat="1">
      <c r="A18" s="309" t="str">
        <f>HYPERLINK("http://www.wantgoo.com/stock/chart.aspx?stockno=8429","8429")</f>
        <v>8429</v>
      </c>
      <c r="B18" s="310"/>
      <c r="C18" s="311">
        <f>VLOOKUP(8429,季財報!A:H,3)</f>
        <v>0</v>
      </c>
      <c r="D18" s="311">
        <f>VLOOKUP(8429,季財報!A:H,4)</f>
        <v>0</v>
      </c>
      <c r="E18" s="311">
        <f>VLOOKUP(8429,季財報!A:H,5)</f>
        <v>0</v>
      </c>
      <c r="F18" s="311">
        <f>VLOOKUP(8429,季財報!A:H,6)</f>
        <v>1</v>
      </c>
      <c r="G18" s="311">
        <f>VLOOKUP(8429,季財報!A:H,7)</f>
        <v>0</v>
      </c>
      <c r="H18" s="312"/>
      <c r="I18" s="312"/>
      <c r="J18" s="312"/>
      <c r="K18" s="312"/>
      <c r="L18" s="312"/>
      <c r="M18" s="313"/>
      <c r="N18" s="312">
        <f t="shared" si="0"/>
        <v>1</v>
      </c>
      <c r="O18" s="314"/>
      <c r="P18" s="314"/>
      <c r="Q18" s="314"/>
      <c r="R18" s="314"/>
      <c r="S18" s="315"/>
      <c r="T18" s="316"/>
    </row>
    <row r="19" spans="1:20" s="317" customFormat="1">
      <c r="A19" s="309" t="str">
        <f>HYPERLINK("http://www.wantgoo.com/stock/chart.aspx?stockno=2383","2383")</f>
        <v>2383</v>
      </c>
      <c r="B19" s="310"/>
      <c r="C19" s="311">
        <f>VLOOKUP(2383,季財報!A:H,3)</f>
        <v>1</v>
      </c>
      <c r="D19" s="311">
        <f>VLOOKUP(2383,季財報!A:H,4)</f>
        <v>1</v>
      </c>
      <c r="E19" s="311">
        <f>VLOOKUP(2383,季財報!A:H,5)</f>
        <v>2</v>
      </c>
      <c r="F19" s="311">
        <f>VLOOKUP(2383,季財報!A:H,6)</f>
        <v>1</v>
      </c>
      <c r="G19" s="311">
        <f>VLOOKUP(2383,季財報!A:H,7)</f>
        <v>0</v>
      </c>
      <c r="H19" s="312"/>
      <c r="I19" s="312"/>
      <c r="J19" s="312"/>
      <c r="K19" s="312"/>
      <c r="L19" s="312"/>
      <c r="M19" s="313"/>
      <c r="N19" s="312">
        <f t="shared" si="0"/>
        <v>5</v>
      </c>
      <c r="O19" s="314"/>
      <c r="P19" s="314"/>
      <c r="Q19" s="314"/>
      <c r="R19" s="314"/>
      <c r="S19" s="315"/>
      <c r="T19" s="316"/>
    </row>
    <row r="20" spans="1:20" s="317" customFormat="1">
      <c r="A20" s="309" t="str">
        <f>HYPERLINK("http://www.wantgoo.com/stock/chart.aspx?stockno=5525","5525")</f>
        <v>5525</v>
      </c>
      <c r="B20" s="310"/>
      <c r="C20" s="311">
        <f>VLOOKUP(5525,季財報!A:H,3)</f>
        <v>0</v>
      </c>
      <c r="D20" s="311">
        <f>VLOOKUP(5525,季財報!A:H,4)</f>
        <v>1</v>
      </c>
      <c r="E20" s="311">
        <f>VLOOKUP(5525,季財報!A:H,5)</f>
        <v>0</v>
      </c>
      <c r="F20" s="311">
        <f>VLOOKUP(5525,季財報!A:H,6)</f>
        <v>0</v>
      </c>
      <c r="G20" s="311">
        <f>VLOOKUP(5525,季財報!A:H,7)</f>
        <v>0</v>
      </c>
      <c r="H20" s="312"/>
      <c r="I20" s="312"/>
      <c r="J20" s="312"/>
      <c r="K20" s="312"/>
      <c r="L20" s="312"/>
      <c r="M20" s="313"/>
      <c r="N20" s="312">
        <f t="shared" si="0"/>
        <v>1</v>
      </c>
      <c r="O20" s="314"/>
      <c r="P20" s="314"/>
      <c r="Q20" s="314"/>
      <c r="R20" s="314"/>
      <c r="S20" s="315"/>
      <c r="T20" s="316"/>
    </row>
    <row r="21" spans="1:20" s="317" customFormat="1">
      <c r="A21" s="309" t="str">
        <f>HYPERLINK("http://www.wantgoo.com/stock/chart.aspx?stockno=4999","4999")</f>
        <v>4999</v>
      </c>
      <c r="B21" s="310"/>
      <c r="C21" s="311">
        <f>VLOOKUP(4999,季財報!A:H,3)</f>
        <v>0</v>
      </c>
      <c r="D21" s="311">
        <f>VLOOKUP(4999,季財報!A:H,4)</f>
        <v>1</v>
      </c>
      <c r="E21" s="311">
        <f>VLOOKUP(4999,季財報!A:H,5)</f>
        <v>2</v>
      </c>
      <c r="F21" s="311">
        <f>VLOOKUP(4999,季財報!A:H,6)</f>
        <v>1</v>
      </c>
      <c r="G21" s="311">
        <f>VLOOKUP(4999,季財報!A:H,7)</f>
        <v>0</v>
      </c>
      <c r="H21" s="312"/>
      <c r="I21" s="312"/>
      <c r="J21" s="312"/>
      <c r="K21" s="312"/>
      <c r="L21" s="312"/>
      <c r="M21" s="313"/>
      <c r="N21" s="312">
        <f t="shared" si="0"/>
        <v>4</v>
      </c>
      <c r="O21" s="314"/>
      <c r="P21" s="314"/>
      <c r="Q21" s="314"/>
      <c r="R21" s="314"/>
      <c r="S21" s="315"/>
      <c r="T21" s="316"/>
    </row>
    <row r="22" spans="1:20" s="317" customFormat="1">
      <c r="A22" s="309" t="str">
        <f>HYPERLINK("http://www.wantgoo.com/stock/chart.aspx?stockno=2548","2548")</f>
        <v>2548</v>
      </c>
      <c r="B22" s="310"/>
      <c r="C22" s="311">
        <f>VLOOKUP(2548,季財報!A:H,3)</f>
        <v>0</v>
      </c>
      <c r="D22" s="311">
        <f>VLOOKUP(2548,季財報!A:H,4)</f>
        <v>1</v>
      </c>
      <c r="E22" s="311">
        <f>VLOOKUP(2548,季財報!A:H,5)</f>
        <v>0</v>
      </c>
      <c r="F22" s="311">
        <f>VLOOKUP(2548,季財報!A:H,6)</f>
        <v>0</v>
      </c>
      <c r="G22" s="311">
        <f>VLOOKUP(2548,季財報!A:H,7)</f>
        <v>0</v>
      </c>
      <c r="H22" s="312"/>
      <c r="I22" s="312"/>
      <c r="J22" s="312"/>
      <c r="K22" s="312"/>
      <c r="L22" s="312"/>
      <c r="M22" s="313"/>
      <c r="N22" s="312">
        <f t="shared" si="0"/>
        <v>1</v>
      </c>
      <c r="O22" s="314"/>
      <c r="P22" s="314"/>
      <c r="Q22" s="314"/>
      <c r="R22" s="314"/>
      <c r="S22" s="315"/>
      <c r="T22" s="316"/>
    </row>
    <row r="23" spans="1:20" s="317" customFormat="1">
      <c r="A23" s="309" t="str">
        <f>HYPERLINK("http://www.wantgoo.com/stock/chart.aspx?stockno=5315","5315")</f>
        <v>5315</v>
      </c>
      <c r="B23" s="310"/>
      <c r="C23" s="311">
        <f>VLOOKUP(5315,季財報!A:H,3)</f>
        <v>1</v>
      </c>
      <c r="D23" s="311">
        <f>VLOOKUP(5315,季財報!A:H,4)</f>
        <v>1</v>
      </c>
      <c r="E23" s="311">
        <f>VLOOKUP(5315,季財報!A:H,5)</f>
        <v>0</v>
      </c>
      <c r="F23" s="311">
        <f>VLOOKUP(5315,季財報!A:H,6)</f>
        <v>1</v>
      </c>
      <c r="G23" s="311">
        <f>VLOOKUP(5315,季財報!A:H,7)</f>
        <v>0</v>
      </c>
      <c r="H23" s="312"/>
      <c r="I23" s="312"/>
      <c r="J23" s="312"/>
      <c r="K23" s="312"/>
      <c r="L23" s="312"/>
      <c r="M23" s="313"/>
      <c r="N23" s="312">
        <f t="shared" si="0"/>
        <v>3</v>
      </c>
      <c r="O23" s="314"/>
      <c r="P23" s="314"/>
      <c r="Q23" s="314"/>
      <c r="R23" s="314"/>
      <c r="S23" s="315"/>
      <c r="T23" s="316"/>
    </row>
    <row r="24" spans="1:20" s="317" customFormat="1">
      <c r="A24" s="309" t="str">
        <f>HYPERLINK("http://www.wantgoo.com/stock/chart.aspx?stockno=3056","3056")</f>
        <v>3056</v>
      </c>
      <c r="B24" s="310"/>
      <c r="C24" s="311">
        <f>VLOOKUP(3056,季財報!A:H,3)</f>
        <v>0</v>
      </c>
      <c r="D24" s="311">
        <f>VLOOKUP(3056,季財報!A:H,4)</f>
        <v>0</v>
      </c>
      <c r="E24" s="311">
        <f>VLOOKUP(3056,季財報!A:H,5)</f>
        <v>0</v>
      </c>
      <c r="F24" s="311">
        <f>VLOOKUP(3056,季財報!A:H,6)</f>
        <v>0</v>
      </c>
      <c r="G24" s="311">
        <f>VLOOKUP(3056,季財報!A:H,7)</f>
        <v>0</v>
      </c>
      <c r="H24" s="312"/>
      <c r="I24" s="312"/>
      <c r="J24" s="312"/>
      <c r="K24" s="312"/>
      <c r="L24" s="312"/>
      <c r="M24" s="313"/>
      <c r="N24" s="312">
        <f t="shared" si="0"/>
        <v>0</v>
      </c>
      <c r="O24" s="314"/>
      <c r="P24" s="314"/>
      <c r="Q24" s="314"/>
      <c r="R24" s="314"/>
      <c r="S24" s="315"/>
      <c r="T24" s="316"/>
    </row>
    <row r="25" spans="1:20" s="317" customFormat="1">
      <c r="A25" s="309" t="str">
        <f>HYPERLINK("http://www.wantgoo.com/stock/chart.aspx?stockno=3455","3455")</f>
        <v>3455</v>
      </c>
      <c r="B25" s="310"/>
      <c r="C25" s="311">
        <f>VLOOKUP(3455,季財報!A:H,3)</f>
        <v>0</v>
      </c>
      <c r="D25" s="311">
        <f>VLOOKUP(3455,季財報!A:H,4)</f>
        <v>1</v>
      </c>
      <c r="E25" s="311">
        <f>VLOOKUP(3455,季財報!A:H,5)</f>
        <v>0</v>
      </c>
      <c r="F25" s="311">
        <f>VLOOKUP(3455,季財報!A:H,6)</f>
        <v>1</v>
      </c>
      <c r="G25" s="311">
        <f>VLOOKUP(3455,季財報!A:H,7)</f>
        <v>0</v>
      </c>
      <c r="H25" s="312"/>
      <c r="I25" s="312"/>
      <c r="J25" s="312"/>
      <c r="K25" s="312"/>
      <c r="L25" s="312"/>
      <c r="M25" s="313"/>
      <c r="N25" s="312">
        <f t="shared" si="0"/>
        <v>2</v>
      </c>
      <c r="O25" s="314"/>
      <c r="P25" s="314"/>
      <c r="Q25" s="314"/>
      <c r="R25" s="314"/>
      <c r="S25" s="315"/>
      <c r="T25" s="316"/>
    </row>
    <row r="26" spans="1:20" s="317" customFormat="1">
      <c r="A26" s="309" t="str">
        <f>HYPERLINK("http://www.wantgoo.com/stock/chart.aspx?stockno=5289","5289")</f>
        <v>5289</v>
      </c>
      <c r="B26" s="310"/>
      <c r="C26" s="311">
        <f>VLOOKUP(5289,季財報!A:H,3)</f>
        <v>0</v>
      </c>
      <c r="D26" s="311">
        <f>VLOOKUP(5289,季財報!A:H,4)</f>
        <v>1</v>
      </c>
      <c r="E26" s="311">
        <f>VLOOKUP(5289,季財報!A:H,5)</f>
        <v>2</v>
      </c>
      <c r="F26" s="311">
        <f>VLOOKUP(5289,季財報!A:H,6)</f>
        <v>1</v>
      </c>
      <c r="G26" s="311">
        <f>VLOOKUP(5289,季財報!A:H,7)</f>
        <v>0</v>
      </c>
      <c r="H26" s="312"/>
      <c r="I26" s="312"/>
      <c r="J26" s="312"/>
      <c r="K26" s="312"/>
      <c r="L26" s="312"/>
      <c r="M26" s="313"/>
      <c r="N26" s="312">
        <f t="shared" si="0"/>
        <v>4</v>
      </c>
      <c r="O26" s="314"/>
      <c r="P26" s="314"/>
      <c r="Q26" s="314"/>
      <c r="R26" s="314"/>
      <c r="S26" s="315"/>
      <c r="T26" s="316"/>
    </row>
    <row r="27" spans="1:20" s="317" customFormat="1">
      <c r="A27" s="309" t="str">
        <f>HYPERLINK("http://www.wantgoo.com/stock/chart.aspx?stockno=8928","8928")</f>
        <v>8928</v>
      </c>
      <c r="B27" s="310"/>
      <c r="C27" s="311">
        <f>VLOOKUP(8928,季財報!A:H,3)</f>
        <v>0</v>
      </c>
      <c r="D27" s="311">
        <f>VLOOKUP(8928,季財報!A:H,4)</f>
        <v>1</v>
      </c>
      <c r="E27" s="311">
        <f>VLOOKUP(8928,季財報!A:H,5)</f>
        <v>2</v>
      </c>
      <c r="F27" s="311">
        <f>VLOOKUP(8928,季財報!A:H,6)</f>
        <v>0</v>
      </c>
      <c r="G27" s="311">
        <f>VLOOKUP(8928,季財報!A:H,7)</f>
        <v>0</v>
      </c>
      <c r="H27" s="312"/>
      <c r="I27" s="312"/>
      <c r="J27" s="312"/>
      <c r="K27" s="312"/>
      <c r="L27" s="312"/>
      <c r="M27" s="313"/>
      <c r="N27" s="312">
        <f t="shared" si="0"/>
        <v>3</v>
      </c>
      <c r="O27" s="314"/>
      <c r="P27" s="314"/>
      <c r="Q27" s="314"/>
      <c r="R27" s="314"/>
      <c r="S27" s="315"/>
      <c r="T27" s="316"/>
    </row>
    <row r="28" spans="1:20" s="317" customFormat="1">
      <c r="A28" s="309" t="str">
        <f>HYPERLINK("http://www.wantgoo.com/stock/chart.aspx?stockno=5474","5474")</f>
        <v>5474</v>
      </c>
      <c r="B28" s="310"/>
      <c r="C28" s="311">
        <f>VLOOKUP(5474,季財報!A:H,3)</f>
        <v>1</v>
      </c>
      <c r="D28" s="311">
        <f>VLOOKUP(5474,季財報!A:H,4)</f>
        <v>1</v>
      </c>
      <c r="E28" s="311">
        <f>VLOOKUP(5474,季財報!A:H,5)</f>
        <v>1</v>
      </c>
      <c r="F28" s="311">
        <f>VLOOKUP(5474,季財報!A:H,6)</f>
        <v>1</v>
      </c>
      <c r="G28" s="311">
        <f>VLOOKUP(5474,季財報!A:H,7)</f>
        <v>0</v>
      </c>
      <c r="H28" s="312"/>
      <c r="I28" s="312"/>
      <c r="J28" s="312"/>
      <c r="K28" s="312"/>
      <c r="L28" s="312"/>
      <c r="M28" s="313"/>
      <c r="N28" s="312">
        <f t="shared" si="0"/>
        <v>4</v>
      </c>
      <c r="O28" s="314"/>
      <c r="P28" s="314"/>
      <c r="Q28" s="314"/>
      <c r="R28" s="314"/>
      <c r="S28" s="315"/>
      <c r="T28" s="316"/>
    </row>
    <row r="29" spans="1:20" s="317" customFormat="1">
      <c r="A29" s="309" t="str">
        <f>HYPERLINK("http://www.wantgoo.com/stock/chart.aspx?stockno=6422","6422")</f>
        <v>6422</v>
      </c>
      <c r="B29" s="310"/>
      <c r="C29" s="311">
        <f>VLOOKUP(6422,季財報!A:H,3)</f>
        <v>0</v>
      </c>
      <c r="D29" s="311">
        <f>VLOOKUP(6422,季財報!A:H,4)</f>
        <v>1</v>
      </c>
      <c r="E29" s="311">
        <f>VLOOKUP(6422,季財報!A:H,5)</f>
        <v>0</v>
      </c>
      <c r="F29" s="311">
        <f>VLOOKUP(6422,季財報!A:H,6)</f>
        <v>0</v>
      </c>
      <c r="G29" s="311">
        <f>VLOOKUP(6422,季財報!A:H,7)</f>
        <v>0</v>
      </c>
      <c r="H29" s="312"/>
      <c r="I29" s="312"/>
      <c r="J29" s="312"/>
      <c r="K29" s="312"/>
      <c r="L29" s="312"/>
      <c r="M29" s="313"/>
      <c r="N29" s="312">
        <f t="shared" si="0"/>
        <v>1</v>
      </c>
      <c r="O29" s="314"/>
      <c r="P29" s="314"/>
      <c r="Q29" s="314"/>
      <c r="R29" s="314"/>
      <c r="S29" s="315"/>
      <c r="T29" s="316"/>
    </row>
    <row r="30" spans="1:20" s="317" customFormat="1">
      <c r="A30" s="309" t="str">
        <f>HYPERLINK("http://www.wantgoo.com/stock/chart.aspx?stockno=2474","2474")</f>
        <v>2474</v>
      </c>
      <c r="B30" s="310"/>
      <c r="C30" s="311">
        <f>VLOOKUP(2474,季財報!A:H,3)</f>
        <v>1</v>
      </c>
      <c r="D30" s="311">
        <f>VLOOKUP(2474,季財報!A:H,4)</f>
        <v>1</v>
      </c>
      <c r="E30" s="311">
        <f>VLOOKUP(2474,季財報!A:H,5)</f>
        <v>0</v>
      </c>
      <c r="F30" s="311">
        <f>VLOOKUP(2474,季財報!A:H,6)</f>
        <v>1</v>
      </c>
      <c r="G30" s="311">
        <f>VLOOKUP(2474,季財報!A:H,7)</f>
        <v>0</v>
      </c>
      <c r="H30" s="312"/>
      <c r="I30" s="312"/>
      <c r="J30" s="312"/>
      <c r="K30" s="312"/>
      <c r="L30" s="312"/>
      <c r="M30" s="313"/>
      <c r="N30" s="312">
        <f t="shared" si="0"/>
        <v>3</v>
      </c>
      <c r="O30" s="314"/>
      <c r="P30" s="314"/>
      <c r="Q30" s="314"/>
      <c r="R30" s="314"/>
      <c r="S30" s="315"/>
      <c r="T30" s="316"/>
    </row>
    <row r="31" spans="1:20" s="317" customFormat="1">
      <c r="A31" s="309" t="str">
        <f>HYPERLINK("http://www.wantgoo.com/stock/chart.aspx?stockno=2929","2929")</f>
        <v>2929</v>
      </c>
      <c r="B31" s="310"/>
      <c r="C31" s="311">
        <f>VLOOKUP(2929,季財報!A:H,3)</f>
        <v>0</v>
      </c>
      <c r="D31" s="311">
        <f>VLOOKUP(2929,季財報!A:H,4)</f>
        <v>0</v>
      </c>
      <c r="E31" s="311">
        <f>VLOOKUP(2929,季財報!A:H,5)</f>
        <v>0</v>
      </c>
      <c r="F31" s="311">
        <f>VLOOKUP(2929,季財報!A:H,6)</f>
        <v>1</v>
      </c>
      <c r="G31" s="311">
        <f>VLOOKUP(2929,季財報!A:H,7)</f>
        <v>0</v>
      </c>
      <c r="H31" s="312"/>
      <c r="I31" s="312"/>
      <c r="J31" s="312"/>
      <c r="K31" s="312"/>
      <c r="L31" s="312"/>
      <c r="M31" s="313"/>
      <c r="N31" s="312">
        <f t="shared" si="0"/>
        <v>1</v>
      </c>
      <c r="O31" s="314"/>
      <c r="P31" s="314"/>
      <c r="Q31" s="314"/>
      <c r="R31" s="314"/>
      <c r="S31" s="315"/>
      <c r="T31" s="316"/>
    </row>
    <row r="32" spans="1:20" s="317" customFormat="1">
      <c r="A32" s="309" t="str">
        <f>HYPERLINK("http://www.wantgoo.com/stock/chart.aspx?stockno=1558","1558")</f>
        <v>1558</v>
      </c>
      <c r="B32" s="310"/>
      <c r="C32" s="311">
        <f>VLOOKUP(1558,季財報!A:H,3)</f>
        <v>1</v>
      </c>
      <c r="D32" s="311">
        <f>VLOOKUP(1558,季財報!A:H,4)</f>
        <v>1</v>
      </c>
      <c r="E32" s="311">
        <f>VLOOKUP(1558,季財報!A:H,5)</f>
        <v>1</v>
      </c>
      <c r="F32" s="311">
        <f>VLOOKUP(1558,季財報!A:H,6)</f>
        <v>1</v>
      </c>
      <c r="G32" s="311">
        <f>VLOOKUP(1558,季財報!A:H,7)</f>
        <v>0</v>
      </c>
      <c r="H32" s="312"/>
      <c r="I32" s="312"/>
      <c r="J32" s="312"/>
      <c r="K32" s="312"/>
      <c r="L32" s="312"/>
      <c r="M32" s="313"/>
      <c r="N32" s="312">
        <f t="shared" si="0"/>
        <v>4</v>
      </c>
      <c r="O32" s="314"/>
      <c r="P32" s="314"/>
      <c r="Q32" s="314"/>
      <c r="R32" s="314"/>
      <c r="S32" s="315"/>
      <c r="T32" s="316"/>
    </row>
    <row r="33" spans="1:20" s="317" customFormat="1">
      <c r="A33" s="309" t="str">
        <f>HYPERLINK("http://www.wantgoo.com/stock/chart.aspx?stockno=2354","2354")</f>
        <v>2354</v>
      </c>
      <c r="B33" s="310"/>
      <c r="C33" s="311">
        <f>VLOOKUP(2354,季財報!A:H,3)</f>
        <v>0</v>
      </c>
      <c r="D33" s="311">
        <f>VLOOKUP(2354,季財報!A:H,4)</f>
        <v>0</v>
      </c>
      <c r="E33" s="311">
        <f>VLOOKUP(2354,季財報!A:H,5)</f>
        <v>0</v>
      </c>
      <c r="F33" s="311">
        <f>VLOOKUP(2354,季財報!A:H,6)</f>
        <v>0</v>
      </c>
      <c r="G33" s="311">
        <f>VLOOKUP(2354,季財報!A:H,7)</f>
        <v>0</v>
      </c>
      <c r="H33" s="312"/>
      <c r="I33" s="312"/>
      <c r="J33" s="312"/>
      <c r="K33" s="312"/>
      <c r="L33" s="312"/>
      <c r="M33" s="313"/>
      <c r="N33" s="312">
        <f t="shared" si="0"/>
        <v>0</v>
      </c>
      <c r="O33" s="314"/>
      <c r="P33" s="314"/>
      <c r="Q33" s="314"/>
      <c r="R33" s="314"/>
      <c r="S33" s="315"/>
      <c r="T33" s="316"/>
    </row>
    <row r="34" spans="1:20" s="317" customFormat="1">
      <c r="A34" s="309" t="str">
        <f>HYPERLINK("http://www.wantgoo.com/stock/chart.aspx?stockno=4987","4987")</f>
        <v>4987</v>
      </c>
      <c r="B34" s="310"/>
      <c r="C34" s="311">
        <f>VLOOKUP(4987,季財報!A:H,3)</f>
        <v>1</v>
      </c>
      <c r="D34" s="311">
        <f>VLOOKUP(4987,季財報!A:H,4)</f>
        <v>1</v>
      </c>
      <c r="E34" s="311">
        <f>VLOOKUP(4987,季財報!A:H,5)</f>
        <v>0</v>
      </c>
      <c r="F34" s="311">
        <f>VLOOKUP(4987,季財報!A:H,6)</f>
        <v>0</v>
      </c>
      <c r="G34" s="311">
        <f>VLOOKUP(4987,季財報!A:H,7)</f>
        <v>0</v>
      </c>
      <c r="H34" s="312"/>
      <c r="I34" s="312"/>
      <c r="J34" s="312"/>
      <c r="K34" s="312"/>
      <c r="L34" s="312"/>
      <c r="M34" s="313"/>
      <c r="N34" s="312">
        <f t="shared" si="0"/>
        <v>2</v>
      </c>
      <c r="O34" s="314"/>
      <c r="P34" s="314"/>
      <c r="Q34" s="314"/>
      <c r="R34" s="314"/>
      <c r="S34" s="315"/>
      <c r="T34" s="316"/>
    </row>
    <row r="35" spans="1:20" s="317" customFormat="1">
      <c r="A35" s="309" t="str">
        <f>HYPERLINK("http://www.wantgoo.com/stock/chart.aspx?stockno=2109","2109")</f>
        <v>2109</v>
      </c>
      <c r="B35" s="310"/>
      <c r="C35" s="311">
        <f>VLOOKUP(2109,季財報!A:H,3)</f>
        <v>0</v>
      </c>
      <c r="D35" s="311">
        <f>VLOOKUP(2109,季財報!A:H,4)</f>
        <v>0</v>
      </c>
      <c r="E35" s="311">
        <f>VLOOKUP(2109,季財報!A:H,5)</f>
        <v>0</v>
      </c>
      <c r="F35" s="311">
        <f>VLOOKUP(2109,季財報!A:H,6)</f>
        <v>1</v>
      </c>
      <c r="G35" s="311">
        <f>VLOOKUP(2109,季財報!A:H,7)</f>
        <v>0</v>
      </c>
      <c r="H35" s="312"/>
      <c r="I35" s="312"/>
      <c r="J35" s="312"/>
      <c r="K35" s="312"/>
      <c r="L35" s="312"/>
      <c r="M35" s="313"/>
      <c r="N35" s="312">
        <f t="shared" si="0"/>
        <v>1</v>
      </c>
      <c r="O35" s="314"/>
      <c r="P35" s="314"/>
      <c r="Q35" s="314"/>
      <c r="R35" s="314"/>
      <c r="S35" s="315"/>
      <c r="T35" s="316"/>
    </row>
    <row r="36" spans="1:20" s="317" customFormat="1">
      <c r="A36" s="309" t="str">
        <f>HYPERLINK("http://www.wantgoo.com/stock/chart.aspx?stockno=3559","3559")</f>
        <v>3559</v>
      </c>
      <c r="B36" s="310"/>
      <c r="C36" s="311">
        <f>VLOOKUP(3559,季財報!A:H,3)</f>
        <v>0</v>
      </c>
      <c r="D36" s="311">
        <f>VLOOKUP(3559,季財報!A:H,4)</f>
        <v>1</v>
      </c>
      <c r="E36" s="311">
        <f>VLOOKUP(3559,季財報!A:H,5)</f>
        <v>1</v>
      </c>
      <c r="F36" s="311">
        <f>VLOOKUP(3559,季財報!A:H,6)</f>
        <v>1</v>
      </c>
      <c r="G36" s="311">
        <f>VLOOKUP(3559,季財報!A:H,7)</f>
        <v>0</v>
      </c>
      <c r="H36" s="312"/>
      <c r="I36" s="312"/>
      <c r="J36" s="312"/>
      <c r="K36" s="312"/>
      <c r="L36" s="312"/>
      <c r="M36" s="313"/>
      <c r="N36" s="312">
        <f t="shared" si="0"/>
        <v>3</v>
      </c>
      <c r="O36" s="314"/>
      <c r="P36" s="314"/>
      <c r="Q36" s="314"/>
      <c r="R36" s="314"/>
      <c r="S36" s="315"/>
      <c r="T36" s="316"/>
    </row>
    <row r="37" spans="1:20" s="317" customFormat="1">
      <c r="A37" s="309" t="str">
        <f>HYPERLINK("http://www.wantgoo.com/stock/chart.aspx?stockno=6263","6263")</f>
        <v>6263</v>
      </c>
      <c r="B37" s="310"/>
      <c r="C37" s="311">
        <f>VLOOKUP(6263,季財報!A:H,3)</f>
        <v>0</v>
      </c>
      <c r="D37" s="311">
        <f>VLOOKUP(6263,季財報!A:H,4)</f>
        <v>1</v>
      </c>
      <c r="E37" s="311">
        <f>VLOOKUP(6263,季財報!A:H,5)</f>
        <v>0</v>
      </c>
      <c r="F37" s="311">
        <f>VLOOKUP(6263,季財報!A:H,6)</f>
        <v>1</v>
      </c>
      <c r="G37" s="311">
        <f>VLOOKUP(6263,季財報!A:H,7)</f>
        <v>0</v>
      </c>
      <c r="H37" s="312"/>
      <c r="I37" s="312"/>
      <c r="J37" s="312"/>
      <c r="K37" s="312"/>
      <c r="L37" s="312"/>
      <c r="M37" s="313"/>
      <c r="N37" s="312">
        <f t="shared" si="0"/>
        <v>2</v>
      </c>
      <c r="O37" s="314"/>
      <c r="P37" s="314"/>
      <c r="Q37" s="314"/>
      <c r="R37" s="314"/>
      <c r="S37" s="315"/>
      <c r="T37" s="316"/>
    </row>
    <row r="38" spans="1:20" s="317" customFormat="1">
      <c r="A38" s="309" t="str">
        <f>HYPERLINK("http://www.wantgoo.com/stock/chart.aspx?stockno=6167","6167")</f>
        <v>6167</v>
      </c>
      <c r="B38" s="310"/>
      <c r="C38" s="311">
        <f>VLOOKUP(6167,季財報!A:H,3)</f>
        <v>0</v>
      </c>
      <c r="D38" s="311">
        <f>VLOOKUP(6167,季財報!A:H,4)</f>
        <v>1</v>
      </c>
      <c r="E38" s="311">
        <f>VLOOKUP(6167,季財報!A:H,5)</f>
        <v>0</v>
      </c>
      <c r="F38" s="311">
        <f>VLOOKUP(6167,季財報!A:H,6)</f>
        <v>0</v>
      </c>
      <c r="G38" s="311">
        <f>VLOOKUP(6167,季財報!A:H,7)</f>
        <v>0</v>
      </c>
      <c r="H38" s="312"/>
      <c r="I38" s="312"/>
      <c r="J38" s="312"/>
      <c r="K38" s="312"/>
      <c r="L38" s="312"/>
      <c r="M38" s="313"/>
      <c r="N38" s="312">
        <f t="shared" si="0"/>
        <v>1</v>
      </c>
      <c r="O38" s="314"/>
      <c r="P38" s="314"/>
      <c r="Q38" s="314"/>
      <c r="R38" s="314"/>
      <c r="S38" s="315"/>
      <c r="T38" s="316"/>
    </row>
    <row r="39" spans="1:20" s="317" customFormat="1">
      <c r="A39" s="309" t="str">
        <f>HYPERLINK("http://www.wantgoo.com/stock/chart.aspx?stockno=2536","2536")</f>
        <v>2536</v>
      </c>
      <c r="B39" s="310"/>
      <c r="C39" s="311">
        <f>VLOOKUP(2536,季財報!A:H,3)</f>
        <v>0</v>
      </c>
      <c r="D39" s="311">
        <f>VLOOKUP(2536,季財報!A:H,4)</f>
        <v>1</v>
      </c>
      <c r="E39" s="311">
        <f>VLOOKUP(2536,季財報!A:H,5)</f>
        <v>2</v>
      </c>
      <c r="F39" s="311">
        <f>VLOOKUP(2536,季財報!A:H,6)</f>
        <v>0</v>
      </c>
      <c r="G39" s="311">
        <f>VLOOKUP(2536,季財報!A:H,7)</f>
        <v>0</v>
      </c>
      <c r="H39" s="312"/>
      <c r="I39" s="312"/>
      <c r="J39" s="312"/>
      <c r="K39" s="312"/>
      <c r="L39" s="312"/>
      <c r="M39" s="313"/>
      <c r="N39" s="312">
        <f t="shared" si="0"/>
        <v>3</v>
      </c>
      <c r="O39" s="314"/>
      <c r="P39" s="314"/>
      <c r="Q39" s="314"/>
      <c r="R39" s="314"/>
      <c r="S39" s="315"/>
      <c r="T39" s="316"/>
    </row>
    <row r="40" spans="1:20" s="317" customFormat="1">
      <c r="A40" s="309" t="str">
        <f>HYPERLINK("http://www.wantgoo.com/stock/chart.aspx?stockno=5349","5349")</f>
        <v>5349</v>
      </c>
      <c r="B40" s="310"/>
      <c r="C40" s="311">
        <f>VLOOKUP(5349,季財報!A:H,3)</f>
        <v>0</v>
      </c>
      <c r="D40" s="311">
        <f>VLOOKUP(5349,季財報!A:H,4)</f>
        <v>0</v>
      </c>
      <c r="E40" s="311">
        <f>VLOOKUP(5349,季財報!A:H,5)</f>
        <v>0</v>
      </c>
      <c r="F40" s="311">
        <f>VLOOKUP(5349,季財報!A:H,6)</f>
        <v>1</v>
      </c>
      <c r="G40" s="311">
        <f>VLOOKUP(5349,季財報!A:H,7)</f>
        <v>0</v>
      </c>
      <c r="H40" s="312"/>
      <c r="I40" s="312"/>
      <c r="J40" s="312"/>
      <c r="K40" s="312"/>
      <c r="L40" s="312"/>
      <c r="M40" s="313"/>
      <c r="N40" s="312">
        <f t="shared" si="0"/>
        <v>1</v>
      </c>
      <c r="O40" s="314"/>
      <c r="P40" s="314"/>
      <c r="Q40" s="314"/>
      <c r="R40" s="314"/>
      <c r="S40" s="315"/>
      <c r="T40" s="316"/>
    </row>
    <row r="41" spans="1:20" s="317" customFormat="1">
      <c r="A41" s="309" t="str">
        <f>HYPERLINK("http://www.wantgoo.com/stock/chart.aspx?stockno=5508","5508")</f>
        <v>5508</v>
      </c>
      <c r="B41" s="310"/>
      <c r="C41" s="311">
        <f>VLOOKUP(5508,季財報!A:H,3)</f>
        <v>0</v>
      </c>
      <c r="D41" s="311">
        <f>VLOOKUP(5508,季財報!A:H,4)</f>
        <v>0</v>
      </c>
      <c r="E41" s="311">
        <f>VLOOKUP(5508,季財報!A:H,5)</f>
        <v>1</v>
      </c>
      <c r="F41" s="311">
        <f>VLOOKUP(5508,季財報!A:H,6)</f>
        <v>0</v>
      </c>
      <c r="G41" s="311">
        <f>VLOOKUP(5508,季財報!A:H,7)</f>
        <v>0</v>
      </c>
      <c r="H41" s="312"/>
      <c r="I41" s="312"/>
      <c r="J41" s="312"/>
      <c r="K41" s="312"/>
      <c r="L41" s="312"/>
      <c r="M41" s="313"/>
      <c r="N41" s="312">
        <f t="shared" si="0"/>
        <v>1</v>
      </c>
      <c r="O41" s="314"/>
      <c r="P41" s="314"/>
      <c r="Q41" s="314"/>
      <c r="R41" s="314"/>
      <c r="S41" s="315"/>
      <c r="T41" s="316"/>
    </row>
    <row r="42" spans="1:20" s="317" customFormat="1">
      <c r="A42" s="309" t="str">
        <f>HYPERLINK("http://www.wantgoo.com/stock/chart.aspx?stockno=8131","8131")</f>
        <v>8131</v>
      </c>
      <c r="B42" s="310"/>
      <c r="C42" s="311">
        <f>VLOOKUP(8131,季財報!A:H,3)</f>
        <v>0</v>
      </c>
      <c r="D42" s="311">
        <f>VLOOKUP(8131,季財報!A:H,4)</f>
        <v>1</v>
      </c>
      <c r="E42" s="311">
        <f>VLOOKUP(8131,季財報!A:H,5)</f>
        <v>0</v>
      </c>
      <c r="F42" s="311">
        <f>VLOOKUP(8131,季財報!A:H,6)</f>
        <v>1</v>
      </c>
      <c r="G42" s="311">
        <f>VLOOKUP(8131,季財報!A:H,7)</f>
        <v>0</v>
      </c>
      <c r="H42" s="312"/>
      <c r="I42" s="312"/>
      <c r="J42" s="312"/>
      <c r="K42" s="312"/>
      <c r="L42" s="312"/>
      <c r="M42" s="313"/>
      <c r="N42" s="312">
        <f t="shared" si="0"/>
        <v>2</v>
      </c>
      <c r="O42" s="314"/>
      <c r="P42" s="314"/>
      <c r="Q42" s="314"/>
      <c r="R42" s="314"/>
      <c r="S42" s="315"/>
      <c r="T42" s="316"/>
    </row>
    <row r="43" spans="1:20" s="317" customFormat="1">
      <c r="A43" s="309" t="str">
        <f>HYPERLINK("http://www.wantgoo.com/stock/chart.aspx?stockno=5266","5266")</f>
        <v>5266</v>
      </c>
      <c r="B43" s="310"/>
      <c r="C43" s="311">
        <f>VLOOKUP(5266,季財報!A:H,3)</f>
        <v>0</v>
      </c>
      <c r="D43" s="311">
        <f>VLOOKUP(5266,季財報!A:H,4)</f>
        <v>1</v>
      </c>
      <c r="E43" s="311">
        <f>VLOOKUP(5266,季財報!A:H,5)</f>
        <v>1</v>
      </c>
      <c r="F43" s="311">
        <f>VLOOKUP(5266,季財報!A:H,6)</f>
        <v>1</v>
      </c>
      <c r="G43" s="311">
        <f>VLOOKUP(5266,季財報!A:H,7)</f>
        <v>0</v>
      </c>
      <c r="H43" s="312"/>
      <c r="I43" s="312"/>
      <c r="J43" s="312"/>
      <c r="K43" s="312"/>
      <c r="L43" s="312"/>
      <c r="M43" s="313"/>
      <c r="N43" s="312">
        <f t="shared" si="0"/>
        <v>3</v>
      </c>
      <c r="O43" s="314"/>
      <c r="P43" s="314"/>
      <c r="Q43" s="314"/>
      <c r="R43" s="314"/>
      <c r="S43" s="315"/>
      <c r="T43" s="316"/>
    </row>
    <row r="44" spans="1:20" s="317" customFormat="1">
      <c r="A44" s="309" t="str">
        <f>HYPERLINK("http://www.wantgoo.com/stock/chart.aspx?stockno=5015","5015")</f>
        <v>5015</v>
      </c>
      <c r="B44" s="310"/>
      <c r="C44" s="311">
        <f>VLOOKUP(5015,季財報!A:H,3)</f>
        <v>0</v>
      </c>
      <c r="D44" s="311">
        <f>VLOOKUP(5015,季財報!A:H,4)</f>
        <v>1</v>
      </c>
      <c r="E44" s="311">
        <f>VLOOKUP(5015,季財報!A:H,5)</f>
        <v>2</v>
      </c>
      <c r="F44" s="311">
        <f>VLOOKUP(5015,季財報!A:H,6)</f>
        <v>0</v>
      </c>
      <c r="G44" s="311">
        <f>VLOOKUP(5015,季財報!A:H,7)</f>
        <v>0</v>
      </c>
      <c r="H44" s="312"/>
      <c r="I44" s="312"/>
      <c r="J44" s="312"/>
      <c r="K44" s="312"/>
      <c r="L44" s="312"/>
      <c r="M44" s="313"/>
      <c r="N44" s="312">
        <f t="shared" si="0"/>
        <v>3</v>
      </c>
      <c r="O44" s="314"/>
      <c r="P44" s="314"/>
      <c r="Q44" s="314"/>
      <c r="R44" s="314"/>
      <c r="S44" s="315"/>
      <c r="T44" s="316"/>
    </row>
    <row r="45" spans="1:20" s="317" customFormat="1">
      <c r="A45" s="309" t="str">
        <f>HYPERLINK("http://www.wantgoo.com/stock/chart.aspx?stockno=3167","3167")</f>
        <v>3167</v>
      </c>
      <c r="B45" s="310"/>
      <c r="C45" s="311">
        <f>VLOOKUP(3167,季財報!A:H,3)</f>
        <v>1</v>
      </c>
      <c r="D45" s="311">
        <f>VLOOKUP(3167,季財報!A:H,4)</f>
        <v>1</v>
      </c>
      <c r="E45" s="311">
        <f>VLOOKUP(3167,季財報!A:H,5)</f>
        <v>0</v>
      </c>
      <c r="F45" s="311">
        <f>VLOOKUP(3167,季財報!A:H,6)</f>
        <v>1</v>
      </c>
      <c r="G45" s="311">
        <f>VLOOKUP(3167,季財報!A:H,7)</f>
        <v>0</v>
      </c>
      <c r="H45" s="312"/>
      <c r="I45" s="312"/>
      <c r="J45" s="312"/>
      <c r="K45" s="312"/>
      <c r="L45" s="312"/>
      <c r="M45" s="313"/>
      <c r="N45" s="312">
        <f t="shared" si="0"/>
        <v>3</v>
      </c>
      <c r="O45" s="314"/>
      <c r="P45" s="314"/>
      <c r="Q45" s="314"/>
      <c r="R45" s="314"/>
      <c r="S45" s="315"/>
      <c r="T45" s="316"/>
    </row>
    <row r="46" spans="1:20" s="317" customFormat="1">
      <c r="A46" s="309" t="str">
        <f>HYPERLINK("http://www.wantgoo.com/stock/chart.aspx?stockno=4960","4960")</f>
        <v>4960</v>
      </c>
      <c r="B46" s="310"/>
      <c r="C46" s="311">
        <f>VLOOKUP(4960,季財報!A:H,3)</f>
        <v>0</v>
      </c>
      <c r="D46" s="311">
        <f>VLOOKUP(4960,季財報!A:H,4)</f>
        <v>1</v>
      </c>
      <c r="E46" s="311">
        <f>VLOOKUP(4960,季財報!A:H,5)</f>
        <v>0</v>
      </c>
      <c r="F46" s="311">
        <f>VLOOKUP(4960,季財報!A:H,6)</f>
        <v>1</v>
      </c>
      <c r="G46" s="311">
        <f>VLOOKUP(4960,季財報!A:H,7)</f>
        <v>0</v>
      </c>
      <c r="H46" s="312"/>
      <c r="I46" s="312"/>
      <c r="J46" s="312"/>
      <c r="K46" s="312"/>
      <c r="L46" s="312"/>
      <c r="M46" s="313"/>
      <c r="N46" s="312">
        <f t="shared" si="0"/>
        <v>2</v>
      </c>
      <c r="O46" s="314"/>
      <c r="P46" s="314"/>
      <c r="Q46" s="314"/>
      <c r="R46" s="314"/>
      <c r="S46" s="315"/>
      <c r="T46" s="316"/>
    </row>
    <row r="47" spans="1:20" s="317" customFormat="1">
      <c r="A47" s="309" t="str">
        <f>HYPERLINK("http://www.wantgoo.com/stock/chart.aspx?stockno=1539","1539")</f>
        <v>1539</v>
      </c>
      <c r="B47" s="310"/>
      <c r="C47" s="311">
        <f>VLOOKUP(1539,季財報!A:H,3)</f>
        <v>1</v>
      </c>
      <c r="D47" s="311">
        <f>VLOOKUP(1539,季財報!A:H,4)</f>
        <v>1</v>
      </c>
      <c r="E47" s="311">
        <f>VLOOKUP(1539,季財報!A:H,5)</f>
        <v>1</v>
      </c>
      <c r="F47" s="311">
        <f>VLOOKUP(1539,季財報!A:H,6)</f>
        <v>1</v>
      </c>
      <c r="G47" s="311">
        <f>VLOOKUP(1539,季財報!A:H,7)</f>
        <v>0</v>
      </c>
      <c r="H47" s="312"/>
      <c r="I47" s="312"/>
      <c r="J47" s="312"/>
      <c r="K47" s="312"/>
      <c r="L47" s="312"/>
      <c r="M47" s="313"/>
      <c r="N47" s="312">
        <f t="shared" si="0"/>
        <v>4</v>
      </c>
      <c r="O47" s="314"/>
      <c r="P47" s="314"/>
      <c r="Q47" s="314"/>
      <c r="R47" s="314"/>
      <c r="S47" s="315"/>
      <c r="T47" s="316"/>
    </row>
    <row r="48" spans="1:20" s="317" customFormat="1">
      <c r="A48" s="309" t="str">
        <f>HYPERLINK("http://www.wantgoo.com/stock/chart.aspx?stockno=2493","2493")</f>
        <v>2493</v>
      </c>
      <c r="B48" s="310"/>
      <c r="C48" s="311">
        <f>VLOOKUP(2493,季財報!A:H,3)</f>
        <v>1</v>
      </c>
      <c r="D48" s="311">
        <f>VLOOKUP(2493,季財報!A:H,4)</f>
        <v>1</v>
      </c>
      <c r="E48" s="311">
        <f>VLOOKUP(2493,季財報!A:H,5)</f>
        <v>0</v>
      </c>
      <c r="F48" s="311">
        <f>VLOOKUP(2493,季財報!A:H,6)</f>
        <v>1</v>
      </c>
      <c r="G48" s="311">
        <f>VLOOKUP(2493,季財報!A:H,7)</f>
        <v>0</v>
      </c>
      <c r="H48" s="312"/>
      <c r="I48" s="312"/>
      <c r="J48" s="312"/>
      <c r="K48" s="312"/>
      <c r="L48" s="312"/>
      <c r="M48" s="313"/>
      <c r="N48" s="312">
        <f t="shared" si="0"/>
        <v>3</v>
      </c>
      <c r="O48" s="314"/>
      <c r="P48" s="314"/>
      <c r="Q48" s="314"/>
      <c r="R48" s="314"/>
      <c r="S48" s="315"/>
      <c r="T48" s="316"/>
    </row>
    <row r="49" spans="1:20" s="317" customFormat="1">
      <c r="A49" s="309" t="str">
        <f>HYPERLINK("http://www.wantgoo.com/stock/chart.aspx?stockno=4958","4958")</f>
        <v>4958</v>
      </c>
      <c r="B49" s="310"/>
      <c r="C49" s="311">
        <f>VLOOKUP(4958,季財報!A:H,3)</f>
        <v>0</v>
      </c>
      <c r="D49" s="311">
        <f>VLOOKUP(4958,季財報!A:H,4)</f>
        <v>1</v>
      </c>
      <c r="E49" s="311">
        <f>VLOOKUP(4958,季財報!A:H,5)</f>
        <v>0</v>
      </c>
      <c r="F49" s="311">
        <f>VLOOKUP(4958,季財報!A:H,6)</f>
        <v>1</v>
      </c>
      <c r="G49" s="311">
        <f>VLOOKUP(4958,季財報!A:H,7)</f>
        <v>0</v>
      </c>
      <c r="H49" s="312"/>
      <c r="I49" s="312"/>
      <c r="J49" s="312"/>
      <c r="K49" s="312"/>
      <c r="L49" s="312"/>
      <c r="M49" s="313"/>
      <c r="N49" s="312">
        <f t="shared" si="0"/>
        <v>2</v>
      </c>
      <c r="O49" s="314"/>
      <c r="P49" s="314"/>
      <c r="Q49" s="314"/>
      <c r="R49" s="314"/>
      <c r="S49" s="315"/>
      <c r="T49" s="316"/>
    </row>
    <row r="50" spans="1:20" s="317" customFormat="1">
      <c r="A50" s="309" t="str">
        <f>HYPERLINK("http://www.wantgoo.com/stock/chart.aspx?stockno=5522","5522")</f>
        <v>5522</v>
      </c>
      <c r="B50" s="310"/>
      <c r="C50" s="311">
        <f>VLOOKUP(5522,季財報!A:H,3)</f>
        <v>0</v>
      </c>
      <c r="D50" s="311">
        <f>VLOOKUP(5522,季財報!A:H,4)</f>
        <v>0</v>
      </c>
      <c r="E50" s="311">
        <f>VLOOKUP(5522,季財報!A:H,5)</f>
        <v>0</v>
      </c>
      <c r="F50" s="311">
        <f>VLOOKUP(5522,季財報!A:H,6)</f>
        <v>1</v>
      </c>
      <c r="G50" s="311">
        <f>VLOOKUP(5522,季財報!A:H,7)</f>
        <v>0</v>
      </c>
      <c r="H50" s="312"/>
      <c r="I50" s="312"/>
      <c r="J50" s="312"/>
      <c r="K50" s="312"/>
      <c r="L50" s="312"/>
      <c r="M50" s="313"/>
      <c r="N50" s="312">
        <f t="shared" si="0"/>
        <v>1</v>
      </c>
      <c r="O50" s="314"/>
      <c r="P50" s="314"/>
      <c r="Q50" s="314"/>
      <c r="R50" s="314"/>
      <c r="S50" s="315"/>
      <c r="T50" s="316"/>
    </row>
    <row r="51" spans="1:20" s="317" customFormat="1">
      <c r="A51" s="309" t="str">
        <f>HYPERLINK("http://www.wantgoo.com/stock/chart.aspx?stockno=8109","8109")</f>
        <v>8109</v>
      </c>
      <c r="B51" s="310"/>
      <c r="C51" s="311">
        <f>VLOOKUP(8109,季財報!A:H,3)</f>
        <v>1</v>
      </c>
      <c r="D51" s="311">
        <f>VLOOKUP(8109,季財報!A:H,4)</f>
        <v>1</v>
      </c>
      <c r="E51" s="311">
        <f>VLOOKUP(8109,季財報!A:H,5)</f>
        <v>2</v>
      </c>
      <c r="F51" s="311">
        <f>VLOOKUP(8109,季財報!A:H,6)</f>
        <v>1</v>
      </c>
      <c r="G51" s="311">
        <f>VLOOKUP(8109,季財報!A:H,7)</f>
        <v>0</v>
      </c>
      <c r="H51" s="312"/>
      <c r="I51" s="312"/>
      <c r="J51" s="312"/>
      <c r="K51" s="312"/>
      <c r="L51" s="312"/>
      <c r="M51" s="313"/>
      <c r="N51" s="312">
        <f t="shared" si="0"/>
        <v>5</v>
      </c>
      <c r="O51" s="314"/>
      <c r="P51" s="314"/>
      <c r="Q51" s="314"/>
      <c r="R51" s="314"/>
      <c r="S51" s="315"/>
      <c r="T51" s="316"/>
    </row>
    <row r="52" spans="1:20" s="317" customFormat="1">
      <c r="A52" s="309" t="str">
        <f>HYPERLINK("http://www.wantgoo.com/stock/chart.aspx?stockno=3672","3672")</f>
        <v>3672</v>
      </c>
      <c r="B52" s="310"/>
      <c r="C52" s="311">
        <f>VLOOKUP(3672,季財報!A:H,3)</f>
        <v>0</v>
      </c>
      <c r="D52" s="311">
        <f>VLOOKUP(3672,季財報!A:H,4)</f>
        <v>1</v>
      </c>
      <c r="E52" s="311">
        <f>VLOOKUP(3672,季財報!A:H,5)</f>
        <v>1</v>
      </c>
      <c r="F52" s="311">
        <f>VLOOKUP(3672,季財報!A:H,6)</f>
        <v>0</v>
      </c>
      <c r="G52" s="311">
        <f>VLOOKUP(3672,季財報!A:H,7)</f>
        <v>1</v>
      </c>
      <c r="H52" s="312"/>
      <c r="I52" s="312"/>
      <c r="J52" s="312"/>
      <c r="K52" s="312"/>
      <c r="L52" s="312"/>
      <c r="M52" s="313"/>
      <c r="N52" s="312">
        <f t="shared" si="0"/>
        <v>3</v>
      </c>
      <c r="O52" s="314"/>
      <c r="P52" s="314"/>
      <c r="Q52" s="314"/>
      <c r="R52" s="314"/>
      <c r="S52" s="315"/>
      <c r="T52" s="316"/>
    </row>
    <row r="53" spans="1:20" s="317" customFormat="1">
      <c r="A53" s="309" t="str">
        <f>HYPERLINK("http://www.wantgoo.com/stock/chart.aspx?stockno=3501","3501")</f>
        <v>3501</v>
      </c>
      <c r="B53" s="310"/>
      <c r="C53" s="311">
        <f>VLOOKUP(3501,季財報!A:H,3)</f>
        <v>1</v>
      </c>
      <c r="D53" s="311">
        <f>VLOOKUP(3501,季財報!A:H,4)</f>
        <v>1</v>
      </c>
      <c r="E53" s="311">
        <f>VLOOKUP(3501,季財報!A:H,5)</f>
        <v>1</v>
      </c>
      <c r="F53" s="311">
        <f>VLOOKUP(3501,季財報!A:H,6)</f>
        <v>1</v>
      </c>
      <c r="G53" s="311">
        <f>VLOOKUP(3501,季財報!A:H,7)</f>
        <v>1</v>
      </c>
      <c r="H53" s="312"/>
      <c r="I53" s="312"/>
      <c r="J53" s="312"/>
      <c r="K53" s="312"/>
      <c r="L53" s="312"/>
      <c r="M53" s="313"/>
      <c r="N53" s="312">
        <f t="shared" si="0"/>
        <v>5</v>
      </c>
      <c r="O53" s="314"/>
      <c r="P53" s="314"/>
      <c r="Q53" s="314"/>
      <c r="R53" s="314"/>
      <c r="S53" s="315"/>
      <c r="T53" s="316"/>
    </row>
    <row r="54" spans="1:20" s="317" customFormat="1">
      <c r="A54" s="309" t="str">
        <f>HYPERLINK("http://www.wantgoo.com/stock/chart.aspx?stockno=1808","1808")</f>
        <v>1808</v>
      </c>
      <c r="B54" s="310"/>
      <c r="C54" s="311">
        <f>VLOOKUP(1808,季財報!A:H,3)</f>
        <v>1</v>
      </c>
      <c r="D54" s="311">
        <f>VLOOKUP(1808,季財報!A:H,4)</f>
        <v>1</v>
      </c>
      <c r="E54" s="311">
        <f>VLOOKUP(1808,季財報!A:H,5)</f>
        <v>2</v>
      </c>
      <c r="F54" s="311">
        <f>VLOOKUP(1808,季財報!A:H,6)</f>
        <v>1</v>
      </c>
      <c r="G54" s="311">
        <f>VLOOKUP(1808,季財報!A:H,7)</f>
        <v>1</v>
      </c>
      <c r="H54" s="312"/>
      <c r="I54" s="312"/>
      <c r="J54" s="312"/>
      <c r="K54" s="312"/>
      <c r="L54" s="312"/>
      <c r="M54" s="313"/>
      <c r="N54" s="312">
        <f t="shared" si="0"/>
        <v>6</v>
      </c>
      <c r="O54" s="314"/>
      <c r="P54" s="314"/>
      <c r="Q54" s="314"/>
      <c r="R54" s="314"/>
      <c r="S54" s="315"/>
      <c r="T54" s="316"/>
    </row>
    <row r="55" spans="1:20" s="317" customFormat="1">
      <c r="A55" s="309" t="str">
        <f>HYPERLINK("http://www.wantgoo.com/stock/chart.aspx?stockno=2206","2206")</f>
        <v>2206</v>
      </c>
      <c r="B55" s="310"/>
      <c r="C55" s="311">
        <f>VLOOKUP(2206,季財報!A:H,3)</f>
        <v>1</v>
      </c>
      <c r="D55" s="311">
        <f>VLOOKUP(2206,季財報!A:H,4)</f>
        <v>1</v>
      </c>
      <c r="E55" s="311">
        <f>VLOOKUP(2206,季財報!A:H,5)</f>
        <v>0</v>
      </c>
      <c r="F55" s="311">
        <f>VLOOKUP(2206,季財報!A:H,6)</f>
        <v>0</v>
      </c>
      <c r="G55" s="311">
        <f>VLOOKUP(2206,季財報!A:H,7)</f>
        <v>0</v>
      </c>
      <c r="H55" s="312"/>
      <c r="I55" s="312"/>
      <c r="J55" s="312"/>
      <c r="K55" s="312"/>
      <c r="L55" s="312"/>
      <c r="M55" s="313"/>
      <c r="N55" s="312">
        <f t="shared" si="0"/>
        <v>2</v>
      </c>
      <c r="O55" s="314"/>
      <c r="P55" s="314"/>
      <c r="Q55" s="314"/>
      <c r="R55" s="314"/>
      <c r="S55" s="315"/>
      <c r="T55" s="316"/>
    </row>
    <row r="56" spans="1:20" s="317" customFormat="1">
      <c r="A56" s="309" t="str">
        <f>HYPERLINK("http://www.wantgoo.com/stock/chart.aspx?stockno=4305","4305")</f>
        <v>4305</v>
      </c>
      <c r="B56" s="310"/>
      <c r="C56" s="311">
        <f>VLOOKUP(4305,季財報!A:H,3)</f>
        <v>1</v>
      </c>
      <c r="D56" s="311">
        <f>VLOOKUP(4305,季財報!A:H,4)</f>
        <v>1</v>
      </c>
      <c r="E56" s="311">
        <f>VLOOKUP(4305,季財報!A:H,5)</f>
        <v>1</v>
      </c>
      <c r="F56" s="311">
        <f>VLOOKUP(4305,季財報!A:H,6)</f>
        <v>1</v>
      </c>
      <c r="G56" s="311">
        <f>VLOOKUP(4305,季財報!A:H,7)</f>
        <v>0</v>
      </c>
      <c r="H56" s="312"/>
      <c r="I56" s="312"/>
      <c r="J56" s="312"/>
      <c r="K56" s="312"/>
      <c r="L56" s="312"/>
      <c r="M56" s="313"/>
      <c r="N56" s="312">
        <f t="shared" si="0"/>
        <v>4</v>
      </c>
      <c r="O56" s="314"/>
      <c r="P56" s="314"/>
      <c r="Q56" s="314"/>
      <c r="R56" s="314"/>
      <c r="S56" s="315"/>
      <c r="T56" s="316"/>
    </row>
    <row r="57" spans="1:20" s="317" customFormat="1">
      <c r="A57" s="309" t="str">
        <f>HYPERLINK("http://www.wantgoo.com/stock/chart.aspx?stockno=1540","1540")</f>
        <v>1540</v>
      </c>
      <c r="B57" s="310"/>
      <c r="C57" s="311">
        <f>VLOOKUP(1540,季財報!A:H,3)</f>
        <v>0</v>
      </c>
      <c r="D57" s="311">
        <f>VLOOKUP(1540,季財報!A:H,4)</f>
        <v>1</v>
      </c>
      <c r="E57" s="311">
        <f>VLOOKUP(1540,季財報!A:H,5)</f>
        <v>0</v>
      </c>
      <c r="F57" s="311">
        <f>VLOOKUP(1540,季財報!A:H,6)</f>
        <v>0</v>
      </c>
      <c r="G57" s="311">
        <f>VLOOKUP(1540,季財報!A:H,7)</f>
        <v>0</v>
      </c>
      <c r="H57" s="312"/>
      <c r="I57" s="312"/>
      <c r="J57" s="312"/>
      <c r="K57" s="312"/>
      <c r="L57" s="312"/>
      <c r="M57" s="313"/>
      <c r="N57" s="312">
        <f t="shared" si="0"/>
        <v>1</v>
      </c>
      <c r="O57" s="314"/>
      <c r="P57" s="314"/>
      <c r="Q57" s="314"/>
      <c r="R57" s="314"/>
      <c r="S57" s="315"/>
    </row>
    <row r="58" spans="1:20" s="317" customFormat="1">
      <c r="A58" s="309" t="str">
        <f>HYPERLINK("http://www.wantgoo.com/stock/chart.aspx?stockno=3030","3030")</f>
        <v>3030</v>
      </c>
      <c r="B58" s="310"/>
      <c r="C58" s="311">
        <f>VLOOKUP(3030,季財報!A:H,3)</f>
        <v>0</v>
      </c>
      <c r="D58" s="311">
        <f>VLOOKUP(3030,季財報!A:H,4)</f>
        <v>1</v>
      </c>
      <c r="E58" s="311">
        <f>VLOOKUP(3030,季財報!A:H,5)</f>
        <v>0</v>
      </c>
      <c r="F58" s="311">
        <f>VLOOKUP(3030,季財報!A:H,6)</f>
        <v>0</v>
      </c>
      <c r="G58" s="311">
        <f>VLOOKUP(3030,季財報!A:H,7)</f>
        <v>0</v>
      </c>
      <c r="H58" s="312"/>
      <c r="I58" s="312"/>
      <c r="J58" s="312"/>
      <c r="K58" s="312"/>
      <c r="L58" s="312"/>
      <c r="M58" s="313"/>
      <c r="N58" s="312">
        <f t="shared" si="0"/>
        <v>1</v>
      </c>
      <c r="O58" s="314"/>
      <c r="P58" s="314"/>
      <c r="Q58" s="314"/>
      <c r="R58" s="314"/>
      <c r="S58" s="315"/>
    </row>
    <row r="59" spans="1:20" s="317" customFormat="1">
      <c r="A59" s="309" t="str">
        <f>HYPERLINK("http://www.wantgoo.com/stock/chart.aspx?stockno=6247","6247")</f>
        <v>6247</v>
      </c>
      <c r="B59" s="310"/>
      <c r="C59" s="311">
        <f>VLOOKUP(6247,季財報!A:H,3)</f>
        <v>1</v>
      </c>
      <c r="D59" s="311">
        <f>VLOOKUP(6247,季財報!A:H,4)</f>
        <v>1</v>
      </c>
      <c r="E59" s="311">
        <f>VLOOKUP(6247,季財報!A:H,5)</f>
        <v>1</v>
      </c>
      <c r="F59" s="311">
        <f>VLOOKUP(6247,季財報!A:H,6)</f>
        <v>0</v>
      </c>
      <c r="G59" s="311">
        <f>VLOOKUP(6247,季財報!A:H,7)</f>
        <v>0</v>
      </c>
      <c r="H59" s="312"/>
      <c r="I59" s="312"/>
      <c r="J59" s="312"/>
      <c r="K59" s="312"/>
      <c r="L59" s="312"/>
      <c r="M59" s="313"/>
      <c r="N59" s="312">
        <f t="shared" si="0"/>
        <v>3</v>
      </c>
      <c r="O59" s="314"/>
      <c r="P59" s="314"/>
      <c r="Q59" s="314"/>
      <c r="R59" s="314"/>
      <c r="S59" s="315"/>
    </row>
    <row r="60" spans="1:20" s="317" customFormat="1">
      <c r="A60" s="309" t="str">
        <f>HYPERLINK("http://www.wantgoo.com/stock/chart.aspx?stockno=6292","6292")</f>
        <v>6292</v>
      </c>
      <c r="B60" s="310"/>
      <c r="C60" s="311">
        <f>VLOOKUP(6292,季財報!A:H,3)</f>
        <v>0</v>
      </c>
      <c r="D60" s="311">
        <f>VLOOKUP(6292,季財報!A:H,4)</f>
        <v>0</v>
      </c>
      <c r="E60" s="311">
        <f>VLOOKUP(6292,季財報!A:H,5)</f>
        <v>1</v>
      </c>
      <c r="F60" s="311">
        <f>VLOOKUP(6292,季財報!A:H,6)</f>
        <v>1</v>
      </c>
      <c r="G60" s="311">
        <f>VLOOKUP(6292,季財報!A:H,7)</f>
        <v>0</v>
      </c>
      <c r="H60" s="312"/>
      <c r="I60" s="312"/>
      <c r="J60" s="312"/>
      <c r="K60" s="312"/>
      <c r="L60" s="312"/>
      <c r="M60" s="313"/>
      <c r="N60" s="312">
        <f t="shared" si="0"/>
        <v>2</v>
      </c>
      <c r="O60" s="314"/>
      <c r="P60" s="314"/>
      <c r="Q60" s="314"/>
      <c r="R60" s="314"/>
      <c r="S60" s="315"/>
    </row>
    <row r="61" spans="1:20" s="317" customFormat="1">
      <c r="A61" s="309" t="str">
        <f>HYPERLINK("http://www.wantgoo.com/stock/chart.aspx?stockno=4722","4722")</f>
        <v>4722</v>
      </c>
      <c r="B61" s="310"/>
      <c r="C61" s="311">
        <f>VLOOKUP(4722,季財報!A:H,3)</f>
        <v>1</v>
      </c>
      <c r="D61" s="311">
        <f>VLOOKUP(4722,季財報!A:H,4)</f>
        <v>1</v>
      </c>
      <c r="E61" s="311">
        <f>VLOOKUP(4722,季財報!A:H,5)</f>
        <v>0</v>
      </c>
      <c r="F61" s="311">
        <f>VLOOKUP(4722,季財報!A:H,6)</f>
        <v>1</v>
      </c>
      <c r="G61" s="311">
        <f>VLOOKUP(4722,季財報!A:H,7)</f>
        <v>0</v>
      </c>
      <c r="H61" s="312"/>
      <c r="I61" s="312"/>
      <c r="J61" s="312"/>
      <c r="K61" s="312"/>
      <c r="L61" s="312"/>
      <c r="M61" s="313"/>
      <c r="N61" s="312">
        <f t="shared" si="0"/>
        <v>3</v>
      </c>
      <c r="O61" s="314"/>
      <c r="P61" s="314"/>
      <c r="Q61" s="314"/>
      <c r="R61" s="314"/>
      <c r="S61" s="315"/>
    </row>
    <row r="62" spans="1:20" s="317" customFormat="1">
      <c r="A62" s="309" t="str">
        <f>HYPERLINK("http://www.wantgoo.com/stock/chart.aspx?stockno=1736","1736")</f>
        <v>1736</v>
      </c>
      <c r="B62" s="310"/>
      <c r="C62" s="311">
        <f>VLOOKUP(1736,季財報!A:H,3)</f>
        <v>0</v>
      </c>
      <c r="D62" s="311">
        <f>VLOOKUP(1736,季財報!A:H,4)</f>
        <v>1</v>
      </c>
      <c r="E62" s="311">
        <f>VLOOKUP(1736,季財報!A:H,5)</f>
        <v>0</v>
      </c>
      <c r="F62" s="311">
        <f>VLOOKUP(1736,季財報!A:H,6)</f>
        <v>0</v>
      </c>
      <c r="G62" s="311">
        <f>VLOOKUP(1736,季財報!A:H,7)</f>
        <v>0</v>
      </c>
      <c r="H62" s="312"/>
      <c r="I62" s="312"/>
      <c r="J62" s="312"/>
      <c r="K62" s="312"/>
      <c r="L62" s="312"/>
      <c r="M62" s="313"/>
      <c r="N62" s="312">
        <f t="shared" si="0"/>
        <v>1</v>
      </c>
      <c r="O62" s="314"/>
      <c r="P62" s="314"/>
      <c r="Q62" s="314"/>
      <c r="R62" s="314"/>
      <c r="S62" s="315"/>
    </row>
    <row r="63" spans="1:20" s="317" customFormat="1">
      <c r="A63" s="309" t="str">
        <f>HYPERLINK("http://www.wantgoo.com/stock/chart.aspx?stockno=3607","3607")</f>
        <v>3607</v>
      </c>
      <c r="B63" s="310"/>
      <c r="C63" s="311">
        <f>VLOOKUP(3607,季財報!A:H,3)</f>
        <v>0</v>
      </c>
      <c r="D63" s="311">
        <f>VLOOKUP(3607,季財報!A:H,4)</f>
        <v>1</v>
      </c>
      <c r="E63" s="311">
        <f>VLOOKUP(3607,季財報!A:H,5)</f>
        <v>0</v>
      </c>
      <c r="F63" s="311">
        <f>VLOOKUP(3607,季財報!A:H,6)</f>
        <v>1</v>
      </c>
      <c r="G63" s="311">
        <f>VLOOKUP(3607,季財報!A:H,7)</f>
        <v>0</v>
      </c>
      <c r="H63" s="312"/>
      <c r="I63" s="312"/>
      <c r="J63" s="312"/>
      <c r="K63" s="312"/>
      <c r="L63" s="312"/>
      <c r="M63" s="313"/>
      <c r="N63" s="312">
        <f t="shared" si="0"/>
        <v>2</v>
      </c>
      <c r="O63" s="314"/>
      <c r="P63" s="314"/>
      <c r="Q63" s="314"/>
      <c r="R63" s="314"/>
      <c r="S63" s="315"/>
    </row>
    <row r="64" spans="1:20" s="317" customFormat="1">
      <c r="A64" s="309" t="str">
        <f>HYPERLINK("http://www.wantgoo.com/stock/chart.aspx?stockno=2428","2428")</f>
        <v>2428</v>
      </c>
      <c r="B64" s="310"/>
      <c r="C64" s="311">
        <f>VLOOKUP(2428,季財報!A:H,3)</f>
        <v>1</v>
      </c>
      <c r="D64" s="311">
        <f>VLOOKUP(2428,季財報!A:H,4)</f>
        <v>1</v>
      </c>
      <c r="E64" s="311">
        <f>VLOOKUP(2428,季財報!A:H,5)</f>
        <v>0</v>
      </c>
      <c r="F64" s="311">
        <f>VLOOKUP(2428,季財報!A:H,6)</f>
        <v>1</v>
      </c>
      <c r="G64" s="311">
        <f>VLOOKUP(2428,季財報!A:H,7)</f>
        <v>0</v>
      </c>
      <c r="H64" s="312"/>
      <c r="I64" s="312"/>
      <c r="J64" s="312"/>
      <c r="K64" s="312"/>
      <c r="L64" s="312"/>
      <c r="M64" s="313"/>
      <c r="N64" s="312">
        <f t="shared" si="0"/>
        <v>3</v>
      </c>
      <c r="O64" s="314"/>
      <c r="P64" s="314"/>
      <c r="Q64" s="314"/>
      <c r="R64" s="314"/>
      <c r="S64" s="315"/>
    </row>
    <row r="65" spans="1:19" s="317" customFormat="1">
      <c r="A65" s="309" t="str">
        <f>HYPERLINK("http://www.wantgoo.com/stock/chart.aspx?stockno=3213","3213")</f>
        <v>3213</v>
      </c>
      <c r="B65" s="310"/>
      <c r="C65" s="311">
        <f>VLOOKUP(3213,季財報!A:H,3)</f>
        <v>0</v>
      </c>
      <c r="D65" s="311">
        <f>VLOOKUP(3213,季財報!A:H,4)</f>
        <v>1</v>
      </c>
      <c r="E65" s="311">
        <f>VLOOKUP(3213,季財報!A:H,5)</f>
        <v>0</v>
      </c>
      <c r="F65" s="311">
        <f>VLOOKUP(3213,季財報!A:H,6)</f>
        <v>1</v>
      </c>
      <c r="G65" s="311">
        <f>VLOOKUP(3213,季財報!A:H,7)</f>
        <v>0</v>
      </c>
      <c r="H65" s="312"/>
      <c r="I65" s="312"/>
      <c r="J65" s="312"/>
      <c r="K65" s="312"/>
      <c r="L65" s="312"/>
      <c r="M65" s="313"/>
      <c r="N65" s="312">
        <f t="shared" si="0"/>
        <v>2</v>
      </c>
      <c r="O65" s="314"/>
      <c r="P65" s="314"/>
      <c r="Q65" s="314"/>
      <c r="R65" s="314"/>
      <c r="S65" s="315"/>
    </row>
    <row r="66" spans="1:19" s="317" customFormat="1">
      <c r="A66" s="309" t="str">
        <f>HYPERLINK("http://www.wantgoo.com/stock/chart.aspx?stockno=6205","6205")</f>
        <v>6205</v>
      </c>
      <c r="B66" s="310"/>
      <c r="C66" s="311">
        <f>VLOOKUP(6205,季財報!A:H,3)</f>
        <v>1</v>
      </c>
      <c r="D66" s="311">
        <f>VLOOKUP(6205,季財報!A:H,4)</f>
        <v>1</v>
      </c>
      <c r="E66" s="311">
        <f>VLOOKUP(6205,季財報!A:H,5)</f>
        <v>2</v>
      </c>
      <c r="F66" s="311">
        <f>VLOOKUP(6205,季財報!A:H,6)</f>
        <v>1</v>
      </c>
      <c r="G66" s="311">
        <f>VLOOKUP(6205,季財報!A:H,7)</f>
        <v>0</v>
      </c>
      <c r="H66" s="312"/>
      <c r="I66" s="312"/>
      <c r="J66" s="312"/>
      <c r="K66" s="312"/>
      <c r="L66" s="312"/>
      <c r="M66" s="313"/>
      <c r="N66" s="312">
        <f t="shared" si="0"/>
        <v>5</v>
      </c>
      <c r="O66" s="314"/>
      <c r="P66" s="314"/>
      <c r="Q66" s="314"/>
      <c r="R66" s="314"/>
      <c r="S66" s="315"/>
    </row>
    <row r="67" spans="1:19" s="317" customFormat="1">
      <c r="A67" s="309" t="str">
        <f>HYPERLINK("http://www.wantgoo.com/stock/chart.aspx?stockno=8070","8070")</f>
        <v>8070</v>
      </c>
      <c r="B67" s="310"/>
      <c r="C67" s="311">
        <f>VLOOKUP(8070,季財報!A:H,3)</f>
        <v>0</v>
      </c>
      <c r="D67" s="311">
        <f>VLOOKUP(8070,季財報!A:H,4)</f>
        <v>0</v>
      </c>
      <c r="E67" s="311">
        <f>VLOOKUP(8070,季財報!A:H,5)</f>
        <v>0</v>
      </c>
      <c r="F67" s="311">
        <f>VLOOKUP(8070,季財報!A:H,6)</f>
        <v>1</v>
      </c>
      <c r="G67" s="311">
        <f>VLOOKUP(8070,季財報!A:H,7)</f>
        <v>0</v>
      </c>
      <c r="H67" s="312"/>
      <c r="I67" s="312"/>
      <c r="J67" s="312"/>
      <c r="K67" s="312"/>
      <c r="L67" s="312"/>
      <c r="M67" s="313"/>
      <c r="N67" s="312">
        <f t="shared" si="0"/>
        <v>1</v>
      </c>
      <c r="O67" s="314"/>
      <c r="P67" s="314"/>
      <c r="Q67" s="314"/>
      <c r="R67" s="314"/>
      <c r="S67" s="315"/>
    </row>
    <row r="68" spans="1:19" s="317" customFormat="1">
      <c r="A68" s="309" t="str">
        <f>HYPERLINK("http://www.wantgoo.com/stock/chart.aspx?stockno=8424","8424")</f>
        <v>8424</v>
      </c>
      <c r="B68" s="310"/>
      <c r="C68" s="311">
        <f>VLOOKUP(8424,季財報!A:H,3)</f>
        <v>0</v>
      </c>
      <c r="D68" s="311">
        <f>VLOOKUP(8424,季財報!A:H,4)</f>
        <v>1</v>
      </c>
      <c r="E68" s="311">
        <f>VLOOKUP(8424,季財報!A:H,5)</f>
        <v>0</v>
      </c>
      <c r="F68" s="311">
        <f>VLOOKUP(8424,季財報!A:H,6)</f>
        <v>0</v>
      </c>
      <c r="G68" s="311">
        <f>VLOOKUP(8424,季財報!A:H,7)</f>
        <v>0</v>
      </c>
      <c r="H68" s="312"/>
      <c r="I68" s="312"/>
      <c r="J68" s="312"/>
      <c r="K68" s="312"/>
      <c r="L68" s="312"/>
      <c r="M68" s="313"/>
      <c r="N68" s="312">
        <f t="shared" ref="N68:N131" si="1">SUM(C68:M68)</f>
        <v>1</v>
      </c>
      <c r="O68" s="314"/>
      <c r="P68" s="314"/>
      <c r="Q68" s="314"/>
      <c r="R68" s="314"/>
      <c r="S68" s="315"/>
    </row>
    <row r="69" spans="1:19" s="317" customFormat="1">
      <c r="A69" s="309" t="str">
        <f>HYPERLINK("http://www.wantgoo.com/stock/chart.aspx?stockno=2114","2114")</f>
        <v>2114</v>
      </c>
      <c r="B69" s="310"/>
      <c r="C69" s="311">
        <f>VLOOKUP(2114,季財報!A:H,3)</f>
        <v>1</v>
      </c>
      <c r="D69" s="311">
        <f>VLOOKUP(2114,季財報!A:H,4)</f>
        <v>1</v>
      </c>
      <c r="E69" s="311">
        <f>VLOOKUP(2114,季財報!A:H,5)</f>
        <v>1</v>
      </c>
      <c r="F69" s="311">
        <f>VLOOKUP(2114,季財報!A:H,6)</f>
        <v>1</v>
      </c>
      <c r="G69" s="311">
        <f>VLOOKUP(2114,季財報!A:H,7)</f>
        <v>0</v>
      </c>
      <c r="H69" s="312"/>
      <c r="I69" s="312"/>
      <c r="J69" s="312"/>
      <c r="K69" s="312"/>
      <c r="L69" s="312"/>
      <c r="M69" s="313"/>
      <c r="N69" s="312">
        <f t="shared" si="1"/>
        <v>4</v>
      </c>
      <c r="O69" s="314"/>
      <c r="P69" s="314"/>
      <c r="Q69" s="314"/>
      <c r="R69" s="314"/>
      <c r="S69" s="315"/>
    </row>
    <row r="70" spans="1:19" s="317" customFormat="1">
      <c r="A70" s="309" t="str">
        <f>HYPERLINK("http://www.wantgoo.com/stock/chart.aspx?stockno=1262","1262")</f>
        <v>1262</v>
      </c>
      <c r="B70" s="310"/>
      <c r="C70" s="311">
        <f>VLOOKUP(1262,季財報!A:H,3)</f>
        <v>0</v>
      </c>
      <c r="D70" s="311">
        <f>VLOOKUP(1262,季財報!A:H,4)</f>
        <v>1</v>
      </c>
      <c r="E70" s="311">
        <f>VLOOKUP(1262,季財報!A:H,5)</f>
        <v>1</v>
      </c>
      <c r="F70" s="311">
        <f>VLOOKUP(1262,季財報!A:H,6)</f>
        <v>1</v>
      </c>
      <c r="G70" s="311">
        <f>VLOOKUP(1262,季財報!A:H,7)</f>
        <v>0</v>
      </c>
      <c r="H70" s="312"/>
      <c r="I70" s="312"/>
      <c r="J70" s="312"/>
      <c r="K70" s="312"/>
      <c r="L70" s="312"/>
      <c r="M70" s="313"/>
      <c r="N70" s="312">
        <f t="shared" si="1"/>
        <v>3</v>
      </c>
      <c r="O70" s="314"/>
      <c r="P70" s="314"/>
      <c r="Q70" s="314"/>
      <c r="R70" s="314"/>
      <c r="S70" s="315"/>
    </row>
    <row r="71" spans="1:19" s="317" customFormat="1">
      <c r="A71" s="309" t="str">
        <f>HYPERLINK("http://www.wantgoo.com/stock/chart.aspx?stockno=3299","3299")</f>
        <v>3299</v>
      </c>
      <c r="B71" s="310"/>
      <c r="C71" s="311">
        <f>VLOOKUP(3299,季財報!A:H,3)</f>
        <v>0</v>
      </c>
      <c r="D71" s="311">
        <f>VLOOKUP(3299,季財報!A:H,4)</f>
        <v>1</v>
      </c>
      <c r="E71" s="311">
        <f>VLOOKUP(3299,季財報!A:H,5)</f>
        <v>0</v>
      </c>
      <c r="F71" s="311">
        <f>VLOOKUP(3299,季財報!A:H,6)</f>
        <v>1</v>
      </c>
      <c r="G71" s="311">
        <f>VLOOKUP(3299,季財報!A:H,7)</f>
        <v>0</v>
      </c>
      <c r="H71" s="312"/>
      <c r="I71" s="312"/>
      <c r="J71" s="312"/>
      <c r="K71" s="312"/>
      <c r="L71" s="312"/>
      <c r="M71" s="313"/>
      <c r="N71" s="312">
        <f t="shared" si="1"/>
        <v>2</v>
      </c>
      <c r="O71" s="314"/>
      <c r="P71" s="314"/>
      <c r="Q71" s="314"/>
      <c r="R71" s="314"/>
      <c r="S71" s="315"/>
    </row>
    <row r="72" spans="1:19" s="317" customFormat="1">
      <c r="A72" s="309" t="str">
        <f>HYPERLINK("http://www.wantgoo.com/stock/chart.aspx?stockno=6216","6216")</f>
        <v>6216</v>
      </c>
      <c r="B72" s="310"/>
      <c r="C72" s="311">
        <f>VLOOKUP(6216,季財報!A:H,3)</f>
        <v>0</v>
      </c>
      <c r="D72" s="311">
        <f>VLOOKUP(6216,季財報!A:H,4)</f>
        <v>1</v>
      </c>
      <c r="E72" s="311">
        <f>VLOOKUP(6216,季財報!A:H,5)</f>
        <v>0</v>
      </c>
      <c r="F72" s="311">
        <f>VLOOKUP(6216,季財報!A:H,6)</f>
        <v>1</v>
      </c>
      <c r="G72" s="311">
        <f>VLOOKUP(6216,季財報!A:H,7)</f>
        <v>0</v>
      </c>
      <c r="H72" s="312"/>
      <c r="I72" s="312"/>
      <c r="J72" s="312"/>
      <c r="K72" s="312"/>
      <c r="L72" s="312"/>
      <c r="M72" s="313"/>
      <c r="N72" s="312">
        <f t="shared" si="1"/>
        <v>2</v>
      </c>
      <c r="O72" s="314"/>
      <c r="P72" s="314"/>
      <c r="Q72" s="314"/>
      <c r="R72" s="314"/>
      <c r="S72" s="315"/>
    </row>
    <row r="73" spans="1:19" s="317" customFormat="1">
      <c r="A73" s="309" t="str">
        <f>HYPERLINK("http://www.wantgoo.com/stock/chart.aspx?stockno=2441","2441")</f>
        <v>2441</v>
      </c>
      <c r="B73" s="310"/>
      <c r="C73" s="311">
        <f>VLOOKUP(2441,季財報!A:H,3)</f>
        <v>0</v>
      </c>
      <c r="D73" s="311">
        <f>VLOOKUP(2441,季財報!A:H,4)</f>
        <v>1</v>
      </c>
      <c r="E73" s="311">
        <f>VLOOKUP(2441,季財報!A:H,5)</f>
        <v>0</v>
      </c>
      <c r="F73" s="311">
        <f>VLOOKUP(2441,季財報!A:H,6)</f>
        <v>1</v>
      </c>
      <c r="G73" s="311">
        <f>VLOOKUP(2441,季財報!A:H,7)</f>
        <v>0</v>
      </c>
      <c r="H73" s="312"/>
      <c r="I73" s="312"/>
      <c r="J73" s="312"/>
      <c r="K73" s="312"/>
      <c r="L73" s="312"/>
      <c r="M73" s="313"/>
      <c r="N73" s="312">
        <f t="shared" si="1"/>
        <v>2</v>
      </c>
      <c r="O73" s="314"/>
      <c r="P73" s="314"/>
      <c r="Q73" s="314"/>
      <c r="R73" s="314"/>
      <c r="S73" s="315"/>
    </row>
    <row r="74" spans="1:19" s="317" customFormat="1">
      <c r="A74" s="309" t="str">
        <f>HYPERLINK("http://www.wantgoo.com/stock/chart.aspx?stockno=1527","1527")</f>
        <v>1527</v>
      </c>
      <c r="B74" s="310"/>
      <c r="C74" s="311">
        <f>VLOOKUP(1527,季財報!A:H,3)</f>
        <v>1</v>
      </c>
      <c r="D74" s="311">
        <f>VLOOKUP(1527,季財報!A:H,4)</f>
        <v>1</v>
      </c>
      <c r="E74" s="311">
        <f>VLOOKUP(1527,季財報!A:H,5)</f>
        <v>0</v>
      </c>
      <c r="F74" s="311">
        <f>VLOOKUP(1527,季財報!A:H,6)</f>
        <v>0</v>
      </c>
      <c r="G74" s="311">
        <f>VLOOKUP(1527,季財報!A:H,7)</f>
        <v>1</v>
      </c>
      <c r="H74" s="312"/>
      <c r="I74" s="312"/>
      <c r="J74" s="312"/>
      <c r="K74" s="312"/>
      <c r="L74" s="312"/>
      <c r="M74" s="313"/>
      <c r="N74" s="312">
        <f t="shared" si="1"/>
        <v>3</v>
      </c>
      <c r="O74" s="314"/>
      <c r="P74" s="314"/>
      <c r="Q74" s="314"/>
      <c r="R74" s="314"/>
      <c r="S74" s="315"/>
    </row>
    <row r="75" spans="1:19" s="317" customFormat="1">
      <c r="A75" s="309" t="str">
        <f>HYPERLINK("http://www.wantgoo.com/stock/chart.aspx?stockno=3264","3264")</f>
        <v>3264</v>
      </c>
      <c r="B75" s="310"/>
      <c r="C75" s="311">
        <f>VLOOKUP(3264,季財報!A:H,3)</f>
        <v>0</v>
      </c>
      <c r="D75" s="311">
        <f>VLOOKUP(3264,季財報!A:H,4)</f>
        <v>1</v>
      </c>
      <c r="E75" s="311">
        <f>VLOOKUP(3264,季財報!A:H,5)</f>
        <v>2</v>
      </c>
      <c r="F75" s="311">
        <f>VLOOKUP(3264,季財報!A:H,6)</f>
        <v>1</v>
      </c>
      <c r="G75" s="311">
        <f>VLOOKUP(3264,季財報!A:H,7)</f>
        <v>0</v>
      </c>
      <c r="H75" s="312"/>
      <c r="I75" s="312"/>
      <c r="J75" s="312"/>
      <c r="K75" s="312"/>
      <c r="L75" s="312"/>
      <c r="M75" s="313"/>
      <c r="N75" s="312">
        <f t="shared" si="1"/>
        <v>4</v>
      </c>
      <c r="O75" s="314"/>
      <c r="P75" s="314"/>
      <c r="Q75" s="314"/>
      <c r="R75" s="314"/>
      <c r="S75" s="315"/>
    </row>
    <row r="76" spans="1:19" s="317" customFormat="1">
      <c r="A76" s="309" t="str">
        <f>HYPERLINK("http://www.wantgoo.com/stock/chart.aspx?stockno=6185","6185")</f>
        <v>6185</v>
      </c>
      <c r="B76" s="310"/>
      <c r="C76" s="311">
        <f>VLOOKUP(6185,季財報!A:H,3)</f>
        <v>0</v>
      </c>
      <c r="D76" s="311">
        <f>VLOOKUP(6185,季財報!A:H,4)</f>
        <v>1</v>
      </c>
      <c r="E76" s="311">
        <f>VLOOKUP(6185,季財報!A:H,5)</f>
        <v>1</v>
      </c>
      <c r="F76" s="311">
        <f>VLOOKUP(6185,季財報!A:H,6)</f>
        <v>1</v>
      </c>
      <c r="G76" s="311">
        <f>VLOOKUP(6185,季財報!A:H,7)</f>
        <v>0</v>
      </c>
      <c r="H76" s="312"/>
      <c r="I76" s="312"/>
      <c r="J76" s="312"/>
      <c r="K76" s="312"/>
      <c r="L76" s="312"/>
      <c r="M76" s="313"/>
      <c r="N76" s="312">
        <f t="shared" si="1"/>
        <v>3</v>
      </c>
      <c r="O76" s="314"/>
      <c r="P76" s="314"/>
      <c r="Q76" s="314"/>
      <c r="R76" s="314"/>
      <c r="S76" s="315"/>
    </row>
    <row r="77" spans="1:19" s="317" customFormat="1">
      <c r="A77" s="309" t="str">
        <f>HYPERLINK("http://www.wantgoo.com/stock/chart.aspx?stockno=1232","1232")</f>
        <v>1232</v>
      </c>
      <c r="B77" s="310"/>
      <c r="C77" s="311">
        <f>VLOOKUP(1232,季財報!A:H,3)</f>
        <v>0</v>
      </c>
      <c r="D77" s="311">
        <f>VLOOKUP(1232,季財報!A:H,4)</f>
        <v>1</v>
      </c>
      <c r="E77" s="311">
        <f>VLOOKUP(1232,季財報!A:H,5)</f>
        <v>1</v>
      </c>
      <c r="F77" s="311">
        <f>VLOOKUP(1232,季財報!A:H,6)</f>
        <v>1</v>
      </c>
      <c r="G77" s="311">
        <f>VLOOKUP(1232,季財報!A:H,7)</f>
        <v>0</v>
      </c>
      <c r="H77" s="312"/>
      <c r="I77" s="312"/>
      <c r="J77" s="312"/>
      <c r="K77" s="312"/>
      <c r="L77" s="312"/>
      <c r="M77" s="313"/>
      <c r="N77" s="312">
        <f t="shared" si="1"/>
        <v>3</v>
      </c>
      <c r="O77" s="314"/>
      <c r="P77" s="314"/>
      <c r="Q77" s="314"/>
      <c r="R77" s="314"/>
      <c r="S77" s="315"/>
    </row>
    <row r="78" spans="1:19" s="317" customFormat="1">
      <c r="A78" s="309" t="str">
        <f>HYPERLINK("http://www.wantgoo.com/stock/chart.aspx?stockno=1258","1258")</f>
        <v>1258</v>
      </c>
      <c r="B78" s="310"/>
      <c r="C78" s="311">
        <f>VLOOKUP(1258,季財報!A:H,3)</f>
        <v>1</v>
      </c>
      <c r="D78" s="311">
        <f>VLOOKUP(1258,季財報!A:H,4)</f>
        <v>1</v>
      </c>
      <c r="E78" s="311">
        <f>VLOOKUP(1258,季財報!A:H,5)</f>
        <v>2</v>
      </c>
      <c r="F78" s="311">
        <f>VLOOKUP(1258,季財報!A:H,6)</f>
        <v>1</v>
      </c>
      <c r="G78" s="311">
        <f>VLOOKUP(1258,季財報!A:H,7)</f>
        <v>1</v>
      </c>
      <c r="H78" s="312"/>
      <c r="I78" s="312"/>
      <c r="J78" s="312"/>
      <c r="K78" s="312"/>
      <c r="L78" s="312"/>
      <c r="M78" s="313"/>
      <c r="N78" s="312">
        <f t="shared" si="1"/>
        <v>6</v>
      </c>
      <c r="O78" s="314"/>
      <c r="P78" s="314"/>
      <c r="Q78" s="314"/>
      <c r="R78" s="314"/>
      <c r="S78" s="315"/>
    </row>
    <row r="79" spans="1:19" s="317" customFormat="1">
      <c r="A79" s="309" t="str">
        <f>HYPERLINK("http://www.wantgoo.com/stock/chart.aspx?stockno=3272","3272")</f>
        <v>3272</v>
      </c>
      <c r="B79" s="310"/>
      <c r="C79" s="311">
        <f>VLOOKUP(3272,季財報!A:H,3)</f>
        <v>0</v>
      </c>
      <c r="D79" s="311">
        <f>VLOOKUP(3272,季財報!A:H,4)</f>
        <v>1</v>
      </c>
      <c r="E79" s="311">
        <f>VLOOKUP(3272,季財報!A:H,5)</f>
        <v>1</v>
      </c>
      <c r="F79" s="311">
        <f>VLOOKUP(3272,季財報!A:H,6)</f>
        <v>1</v>
      </c>
      <c r="G79" s="311">
        <f>VLOOKUP(3272,季財報!A:H,7)</f>
        <v>0</v>
      </c>
      <c r="H79" s="312"/>
      <c r="I79" s="312"/>
      <c r="J79" s="312"/>
      <c r="K79" s="312"/>
      <c r="L79" s="312"/>
      <c r="M79" s="313"/>
      <c r="N79" s="312">
        <f t="shared" si="1"/>
        <v>3</v>
      </c>
      <c r="O79" s="314"/>
      <c r="P79" s="314"/>
      <c r="Q79" s="314"/>
      <c r="R79" s="314"/>
      <c r="S79" s="315"/>
    </row>
    <row r="80" spans="1:19" s="317" customFormat="1">
      <c r="A80" s="309" t="str">
        <f>HYPERLINK("http://www.wantgoo.com/stock/chart.aspx?stockno=2615","2615")</f>
        <v>2615</v>
      </c>
      <c r="B80" s="310"/>
      <c r="C80" s="311">
        <f>VLOOKUP(2615,季財報!A:H,3)</f>
        <v>0</v>
      </c>
      <c r="D80" s="311">
        <f>VLOOKUP(2615,季財報!A:H,4)</f>
        <v>1</v>
      </c>
      <c r="E80" s="311">
        <f>VLOOKUP(2615,季財報!A:H,5)</f>
        <v>0</v>
      </c>
      <c r="F80" s="311">
        <f>VLOOKUP(2615,季財報!A:H,6)</f>
        <v>1</v>
      </c>
      <c r="G80" s="311">
        <f>VLOOKUP(2615,季財報!A:H,7)</f>
        <v>0</v>
      </c>
      <c r="H80" s="312"/>
      <c r="I80" s="312"/>
      <c r="J80" s="312"/>
      <c r="K80" s="312"/>
      <c r="L80" s="312"/>
      <c r="M80" s="313"/>
      <c r="N80" s="312">
        <f t="shared" si="1"/>
        <v>2</v>
      </c>
      <c r="O80" s="314"/>
      <c r="P80" s="314"/>
      <c r="Q80" s="314"/>
      <c r="R80" s="314"/>
      <c r="S80" s="315"/>
    </row>
    <row r="81" spans="1:19" s="317" customFormat="1">
      <c r="A81" s="309" t="str">
        <f>HYPERLINK("http://www.wantgoo.com/stock/chart.aspx?stockno=6195","6195")</f>
        <v>6195</v>
      </c>
      <c r="B81" s="310"/>
      <c r="C81" s="311">
        <f>VLOOKUP(6195,季財報!A:H,3)</f>
        <v>0</v>
      </c>
      <c r="D81" s="311">
        <f>VLOOKUP(6195,季財報!A:H,4)</f>
        <v>0</v>
      </c>
      <c r="E81" s="311">
        <f>VLOOKUP(6195,季財報!A:H,5)</f>
        <v>0</v>
      </c>
      <c r="F81" s="311">
        <f>VLOOKUP(6195,季財報!A:H,6)</f>
        <v>0</v>
      </c>
      <c r="G81" s="311">
        <f>VLOOKUP(6195,季財報!A:H,7)</f>
        <v>0</v>
      </c>
      <c r="H81" s="312"/>
      <c r="I81" s="312"/>
      <c r="J81" s="312"/>
      <c r="K81" s="312"/>
      <c r="L81" s="312"/>
      <c r="M81" s="313"/>
      <c r="N81" s="312">
        <f t="shared" si="1"/>
        <v>0</v>
      </c>
      <c r="O81" s="314"/>
      <c r="P81" s="314"/>
      <c r="Q81" s="314"/>
      <c r="R81" s="314"/>
      <c r="S81" s="315"/>
    </row>
    <row r="82" spans="1:19" s="317" customFormat="1">
      <c r="A82" s="309" t="str">
        <f>HYPERLINK("http://www.wantgoo.com/stock/chart.aspx?stockno=4417","4417")</f>
        <v>4417</v>
      </c>
      <c r="B82" s="310"/>
      <c r="C82" s="311">
        <f>VLOOKUP(4417,季財報!A:H,3)</f>
        <v>0</v>
      </c>
      <c r="D82" s="311">
        <f>VLOOKUP(4417,季財報!A:H,4)</f>
        <v>1</v>
      </c>
      <c r="E82" s="311">
        <f>VLOOKUP(4417,季財報!A:H,5)</f>
        <v>1</v>
      </c>
      <c r="F82" s="311">
        <f>VLOOKUP(4417,季財報!A:H,6)</f>
        <v>1</v>
      </c>
      <c r="G82" s="311">
        <f>VLOOKUP(4417,季財報!A:H,7)</f>
        <v>0</v>
      </c>
      <c r="H82" s="312"/>
      <c r="I82" s="312"/>
      <c r="J82" s="312"/>
      <c r="K82" s="312"/>
      <c r="L82" s="312"/>
      <c r="M82" s="313"/>
      <c r="N82" s="312">
        <f t="shared" si="1"/>
        <v>3</v>
      </c>
      <c r="O82" s="314"/>
      <c r="P82" s="314"/>
      <c r="Q82" s="314"/>
      <c r="R82" s="314"/>
      <c r="S82" s="315"/>
    </row>
    <row r="83" spans="1:19" s="317" customFormat="1">
      <c r="A83" s="309" t="str">
        <f>HYPERLINK("http://www.wantgoo.com/stock/chart.aspx?stockno=2597","2597")</f>
        <v>2597</v>
      </c>
      <c r="B83" s="310"/>
      <c r="C83" s="311">
        <f>VLOOKUP(2597,季財報!A:H,3)</f>
        <v>0</v>
      </c>
      <c r="D83" s="311">
        <f>VLOOKUP(2597,季財報!A:H,4)</f>
        <v>1</v>
      </c>
      <c r="E83" s="311">
        <f>VLOOKUP(2597,季財報!A:H,5)</f>
        <v>0</v>
      </c>
      <c r="F83" s="311">
        <f>VLOOKUP(2597,季財報!A:H,6)</f>
        <v>1</v>
      </c>
      <c r="G83" s="311">
        <f>VLOOKUP(2597,季財報!A:H,7)</f>
        <v>0</v>
      </c>
      <c r="H83" s="312"/>
      <c r="I83" s="312"/>
      <c r="J83" s="312"/>
      <c r="K83" s="312"/>
      <c r="L83" s="312"/>
      <c r="M83" s="313"/>
      <c r="N83" s="312">
        <f t="shared" si="1"/>
        <v>2</v>
      </c>
      <c r="O83" s="314"/>
      <c r="P83" s="314"/>
      <c r="Q83" s="314"/>
      <c r="R83" s="314"/>
      <c r="S83" s="315"/>
    </row>
    <row r="84" spans="1:19" s="317" customFormat="1">
      <c r="A84" s="309" t="str">
        <f>HYPERLINK("http://www.wantgoo.com/stock/chart.aspx?stockno=1452","1452")</f>
        <v>1452</v>
      </c>
      <c r="B84" s="310"/>
      <c r="C84" s="311">
        <f>VLOOKUP(1452,季財報!A:H,3)</f>
        <v>0</v>
      </c>
      <c r="D84" s="311">
        <f>VLOOKUP(1452,季財報!A:H,4)</f>
        <v>1</v>
      </c>
      <c r="E84" s="311">
        <f>VLOOKUP(1452,季財報!A:H,5)</f>
        <v>0</v>
      </c>
      <c r="F84" s="311">
        <f>VLOOKUP(1452,季財報!A:H,6)</f>
        <v>1</v>
      </c>
      <c r="G84" s="311">
        <f>VLOOKUP(1452,季財報!A:H,7)</f>
        <v>0</v>
      </c>
      <c r="H84" s="312"/>
      <c r="I84" s="312"/>
      <c r="J84" s="312"/>
      <c r="K84" s="312"/>
      <c r="L84" s="312"/>
      <c r="M84" s="313"/>
      <c r="N84" s="312">
        <f t="shared" si="1"/>
        <v>2</v>
      </c>
      <c r="O84" s="314"/>
      <c r="P84" s="314"/>
      <c r="Q84" s="314"/>
      <c r="R84" s="314"/>
      <c r="S84" s="315"/>
    </row>
    <row r="85" spans="1:19" s="317" customFormat="1">
      <c r="A85" s="309" t="str">
        <f>HYPERLINK("http://www.wantgoo.com/stock/chart.aspx?stockno=2108","2108")</f>
        <v>2108</v>
      </c>
      <c r="B85" s="310"/>
      <c r="C85" s="311">
        <f>VLOOKUP(2108,季財報!A:H,3)</f>
        <v>1</v>
      </c>
      <c r="D85" s="311">
        <f>VLOOKUP(2108,季財報!A:H,4)</f>
        <v>1</v>
      </c>
      <c r="E85" s="311">
        <f>VLOOKUP(2108,季財報!A:H,5)</f>
        <v>0</v>
      </c>
      <c r="F85" s="311">
        <f>VLOOKUP(2108,季財報!A:H,6)</f>
        <v>1</v>
      </c>
      <c r="G85" s="311">
        <f>VLOOKUP(2108,季財報!A:H,7)</f>
        <v>0</v>
      </c>
      <c r="H85" s="312"/>
      <c r="I85" s="312"/>
      <c r="J85" s="312"/>
      <c r="K85" s="312"/>
      <c r="L85" s="312"/>
      <c r="M85" s="313"/>
      <c r="N85" s="312">
        <f t="shared" si="1"/>
        <v>3</v>
      </c>
      <c r="O85" s="314"/>
      <c r="P85" s="314"/>
      <c r="Q85" s="314"/>
      <c r="R85" s="314"/>
      <c r="S85" s="315"/>
    </row>
    <row r="86" spans="1:19" s="317" customFormat="1">
      <c r="A86" s="309" t="str">
        <f>HYPERLINK("http://www.wantgoo.com/stock/chart.aspx?stockno=1570","1570")</f>
        <v>1570</v>
      </c>
      <c r="B86" s="310"/>
      <c r="C86" s="311">
        <f>VLOOKUP(1570,季財報!A:H,3)</f>
        <v>1</v>
      </c>
      <c r="D86" s="311">
        <f>VLOOKUP(1570,季財報!A:H,4)</f>
        <v>1</v>
      </c>
      <c r="E86" s="311">
        <f>VLOOKUP(1570,季財報!A:H,5)</f>
        <v>2</v>
      </c>
      <c r="F86" s="311">
        <f>VLOOKUP(1570,季財報!A:H,6)</f>
        <v>1</v>
      </c>
      <c r="G86" s="311">
        <f>VLOOKUP(1570,季財報!A:H,7)</f>
        <v>0</v>
      </c>
      <c r="H86" s="312"/>
      <c r="I86" s="312"/>
      <c r="J86" s="312"/>
      <c r="K86" s="312"/>
      <c r="L86" s="312"/>
      <c r="M86" s="313"/>
      <c r="N86" s="312">
        <f t="shared" si="1"/>
        <v>5</v>
      </c>
      <c r="O86" s="314"/>
      <c r="P86" s="314"/>
      <c r="Q86" s="314"/>
      <c r="R86" s="314"/>
      <c r="S86" s="315"/>
    </row>
    <row r="87" spans="1:19" s="317" customFormat="1">
      <c r="A87" s="309" t="str">
        <f>HYPERLINK("http://www.wantgoo.com/stock/chart.aspx?stockno=2501","2501")</f>
        <v>2501</v>
      </c>
      <c r="B87" s="310"/>
      <c r="C87" s="311">
        <f>VLOOKUP(2501,季財報!A:H,3)</f>
        <v>0</v>
      </c>
      <c r="D87" s="311">
        <f>VLOOKUP(2501,季財報!A:H,4)</f>
        <v>0</v>
      </c>
      <c r="E87" s="311">
        <f>VLOOKUP(2501,季財報!A:H,5)</f>
        <v>0</v>
      </c>
      <c r="F87" s="311">
        <f>VLOOKUP(2501,季財報!A:H,6)</f>
        <v>0</v>
      </c>
      <c r="G87" s="311">
        <f>VLOOKUP(2501,季財報!A:H,7)</f>
        <v>0</v>
      </c>
      <c r="H87" s="312"/>
      <c r="I87" s="312"/>
      <c r="J87" s="312"/>
      <c r="K87" s="312"/>
      <c r="L87" s="312"/>
      <c r="M87" s="313"/>
      <c r="N87" s="312">
        <f t="shared" si="1"/>
        <v>0</v>
      </c>
      <c r="O87" s="314"/>
      <c r="P87" s="314"/>
      <c r="Q87" s="314"/>
      <c r="R87" s="314"/>
      <c r="S87" s="315"/>
    </row>
    <row r="88" spans="1:19" s="317" customFormat="1">
      <c r="A88" s="309" t="str">
        <f>HYPERLINK("http://www.wantgoo.com/stock/chart.aspx?stockno=6207","6207")</f>
        <v>6207</v>
      </c>
      <c r="B88" s="310"/>
      <c r="C88" s="311">
        <f>VLOOKUP(6207,季財報!A:H,3)</f>
        <v>1</v>
      </c>
      <c r="D88" s="311">
        <f>VLOOKUP(6207,季財報!A:H,4)</f>
        <v>1</v>
      </c>
      <c r="E88" s="311">
        <f>VLOOKUP(6207,季財報!A:H,5)</f>
        <v>1</v>
      </c>
      <c r="F88" s="311">
        <f>VLOOKUP(6207,季財報!A:H,6)</f>
        <v>1</v>
      </c>
      <c r="G88" s="311">
        <f>VLOOKUP(6207,季財報!A:H,7)</f>
        <v>0</v>
      </c>
      <c r="H88" s="312"/>
      <c r="I88" s="312"/>
      <c r="J88" s="312"/>
      <c r="K88" s="312"/>
      <c r="L88" s="312"/>
      <c r="M88" s="313"/>
      <c r="N88" s="312">
        <f t="shared" si="1"/>
        <v>4</v>
      </c>
      <c r="O88" s="314"/>
      <c r="P88" s="314"/>
      <c r="Q88" s="314"/>
      <c r="R88" s="314"/>
      <c r="S88" s="315"/>
    </row>
    <row r="89" spans="1:19" s="317" customFormat="1">
      <c r="A89" s="309" t="str">
        <f>HYPERLINK("http://www.wantgoo.com/stock/chart.aspx?stockno=5201","5201")</f>
        <v>5201</v>
      </c>
      <c r="B89" s="310"/>
      <c r="C89" s="311">
        <f>VLOOKUP(5201,季財報!A:H,3)</f>
        <v>1</v>
      </c>
      <c r="D89" s="311">
        <f>VLOOKUP(5201,季財報!A:H,4)</f>
        <v>1</v>
      </c>
      <c r="E89" s="311">
        <f>VLOOKUP(5201,季財報!A:H,5)</f>
        <v>2</v>
      </c>
      <c r="F89" s="311">
        <f>VLOOKUP(5201,季財報!A:H,6)</f>
        <v>0</v>
      </c>
      <c r="G89" s="311">
        <f>VLOOKUP(5201,季財報!A:H,7)</f>
        <v>0</v>
      </c>
      <c r="H89" s="312"/>
      <c r="I89" s="312"/>
      <c r="J89" s="312"/>
      <c r="K89" s="312"/>
      <c r="L89" s="312"/>
      <c r="M89" s="313"/>
      <c r="N89" s="312">
        <f t="shared" si="1"/>
        <v>4</v>
      </c>
      <c r="O89" s="314"/>
      <c r="P89" s="314"/>
      <c r="Q89" s="314"/>
      <c r="R89" s="314"/>
      <c r="S89" s="315"/>
    </row>
    <row r="90" spans="1:19" s="317" customFormat="1">
      <c r="A90" s="309" t="str">
        <f>HYPERLINK("http://www.wantgoo.com/stock/chart.aspx?stockno=4974","4974")</f>
        <v>4974</v>
      </c>
      <c r="B90" s="310"/>
      <c r="C90" s="311">
        <f>VLOOKUP(4974,季財報!A:H,3)</f>
        <v>1</v>
      </c>
      <c r="D90" s="311">
        <f>VLOOKUP(4974,季財報!A:H,4)</f>
        <v>1</v>
      </c>
      <c r="E90" s="311">
        <f>VLOOKUP(4974,季財報!A:H,5)</f>
        <v>0</v>
      </c>
      <c r="F90" s="311">
        <f>VLOOKUP(4974,季財報!A:H,6)</f>
        <v>0</v>
      </c>
      <c r="G90" s="311">
        <f>VLOOKUP(4974,季財報!A:H,7)</f>
        <v>0</v>
      </c>
      <c r="H90" s="312"/>
      <c r="I90" s="312"/>
      <c r="J90" s="312"/>
      <c r="K90" s="312"/>
      <c r="L90" s="312"/>
      <c r="M90" s="313"/>
      <c r="N90" s="312">
        <f t="shared" si="1"/>
        <v>2</v>
      </c>
      <c r="O90" s="314"/>
      <c r="P90" s="314"/>
      <c r="Q90" s="314"/>
      <c r="R90" s="314"/>
      <c r="S90" s="315"/>
    </row>
    <row r="91" spans="1:19" s="317" customFormat="1">
      <c r="A91" s="309" t="str">
        <f>HYPERLINK("http://www.wantgoo.com/stock/chart.aspx?stockno=2488","2488")</f>
        <v>2488</v>
      </c>
      <c r="B91" s="310"/>
      <c r="C91" s="311">
        <f>VLOOKUP(2488,季財報!A:H,3)</f>
        <v>1</v>
      </c>
      <c r="D91" s="311">
        <f>VLOOKUP(2488,季財報!A:H,4)</f>
        <v>1</v>
      </c>
      <c r="E91" s="311">
        <f>VLOOKUP(2488,季財報!A:H,5)</f>
        <v>1</v>
      </c>
      <c r="F91" s="311">
        <f>VLOOKUP(2488,季財報!A:H,6)</f>
        <v>1</v>
      </c>
      <c r="G91" s="311">
        <f>VLOOKUP(2488,季財報!A:H,7)</f>
        <v>0</v>
      </c>
      <c r="H91" s="312"/>
      <c r="I91" s="312"/>
      <c r="J91" s="312"/>
      <c r="K91" s="312"/>
      <c r="L91" s="312"/>
      <c r="M91" s="313"/>
      <c r="N91" s="312">
        <f t="shared" si="1"/>
        <v>4</v>
      </c>
      <c r="O91" s="314"/>
      <c r="P91" s="314"/>
      <c r="Q91" s="314"/>
      <c r="R91" s="314"/>
      <c r="S91" s="315"/>
    </row>
    <row r="92" spans="1:19" s="317" customFormat="1">
      <c r="A92" s="309" t="str">
        <f>HYPERLINK("http://www.wantgoo.com/stock/chart.aspx?stockno=2451","2451")</f>
        <v>2451</v>
      </c>
      <c r="B92" s="310"/>
      <c r="C92" s="311">
        <f>VLOOKUP(2451,季財報!A:H,3)</f>
        <v>1</v>
      </c>
      <c r="D92" s="311">
        <f>VLOOKUP(2451,季財報!A:H,4)</f>
        <v>1</v>
      </c>
      <c r="E92" s="311">
        <f>VLOOKUP(2451,季財報!A:H,5)</f>
        <v>0</v>
      </c>
      <c r="F92" s="311">
        <f>VLOOKUP(2451,季財報!A:H,6)</f>
        <v>1</v>
      </c>
      <c r="G92" s="311">
        <f>VLOOKUP(2451,季財報!A:H,7)</f>
        <v>0</v>
      </c>
      <c r="H92" s="312"/>
      <c r="I92" s="312"/>
      <c r="J92" s="312"/>
      <c r="K92" s="312"/>
      <c r="L92" s="312"/>
      <c r="M92" s="313"/>
      <c r="N92" s="312">
        <f t="shared" si="1"/>
        <v>3</v>
      </c>
      <c r="O92" s="314"/>
      <c r="P92" s="314"/>
      <c r="Q92" s="314"/>
      <c r="R92" s="314"/>
      <c r="S92" s="315"/>
    </row>
    <row r="93" spans="1:19" s="317" customFormat="1">
      <c r="A93" s="309" t="str">
        <f>HYPERLINK("http://www.wantgoo.com/stock/chart.aspx?stockno=6120","6120")</f>
        <v>6120</v>
      </c>
      <c r="B93" s="310"/>
      <c r="C93" s="311">
        <f>VLOOKUP(6120,季財報!A:H,3)</f>
        <v>0</v>
      </c>
      <c r="D93" s="311">
        <f>VLOOKUP(6120,季財報!A:H,4)</f>
        <v>0</v>
      </c>
      <c r="E93" s="311">
        <f>VLOOKUP(6120,季財報!A:H,5)</f>
        <v>0</v>
      </c>
      <c r="F93" s="311">
        <f>VLOOKUP(6120,季財報!A:H,6)</f>
        <v>0</v>
      </c>
      <c r="G93" s="311">
        <f>VLOOKUP(6120,季財報!A:H,7)</f>
        <v>0</v>
      </c>
      <c r="H93" s="312"/>
      <c r="I93" s="312"/>
      <c r="J93" s="312"/>
      <c r="K93" s="312"/>
      <c r="L93" s="312"/>
      <c r="M93" s="313"/>
      <c r="N93" s="312">
        <f t="shared" si="1"/>
        <v>0</v>
      </c>
      <c r="O93" s="314"/>
      <c r="P93" s="314"/>
      <c r="Q93" s="314"/>
      <c r="R93" s="314"/>
      <c r="S93" s="315"/>
    </row>
    <row r="94" spans="1:19" s="317" customFormat="1">
      <c r="A94" s="309" t="str">
        <f>HYPERLINK("http://www.wantgoo.com/stock/chart.aspx?stockno=3693","3693")</f>
        <v>3693</v>
      </c>
      <c r="B94" s="310"/>
      <c r="C94" s="311">
        <f>VLOOKUP(3693,季財報!A:H,3)</f>
        <v>1</v>
      </c>
      <c r="D94" s="311">
        <f>VLOOKUP(3693,季財報!A:H,4)</f>
        <v>1</v>
      </c>
      <c r="E94" s="311">
        <f>VLOOKUP(3693,季財報!A:H,5)</f>
        <v>1</v>
      </c>
      <c r="F94" s="311">
        <f>VLOOKUP(3693,季財報!A:H,6)</f>
        <v>1</v>
      </c>
      <c r="G94" s="311">
        <f>VLOOKUP(3693,季財報!A:H,7)</f>
        <v>0</v>
      </c>
      <c r="H94" s="312"/>
      <c r="I94" s="312"/>
      <c r="J94" s="312"/>
      <c r="K94" s="312"/>
      <c r="L94" s="312"/>
      <c r="M94" s="313"/>
      <c r="N94" s="312">
        <f t="shared" si="1"/>
        <v>4</v>
      </c>
      <c r="O94" s="314"/>
      <c r="P94" s="314"/>
      <c r="Q94" s="314"/>
      <c r="R94" s="314"/>
      <c r="S94" s="315"/>
    </row>
    <row r="95" spans="1:19" s="317" customFormat="1">
      <c r="A95" s="309" t="str">
        <f>HYPERLINK("http://www.wantgoo.com/stock/chart.aspx?stockno=2330","2330")</f>
        <v>2330</v>
      </c>
      <c r="B95" s="310"/>
      <c r="C95" s="311">
        <f>VLOOKUP(2330,季財報!A:H,3)</f>
        <v>0</v>
      </c>
      <c r="D95" s="311">
        <f>VLOOKUP(2330,季財報!A:H,4)</f>
        <v>0</v>
      </c>
      <c r="E95" s="311">
        <f>VLOOKUP(2330,季財報!A:H,5)</f>
        <v>1</v>
      </c>
      <c r="F95" s="311">
        <f>VLOOKUP(2330,季財報!A:H,6)</f>
        <v>1</v>
      </c>
      <c r="G95" s="311">
        <f>VLOOKUP(2330,季財報!A:H,7)</f>
        <v>0</v>
      </c>
      <c r="H95" s="312"/>
      <c r="I95" s="312"/>
      <c r="J95" s="312"/>
      <c r="K95" s="312"/>
      <c r="L95" s="312"/>
      <c r="M95" s="313"/>
      <c r="N95" s="312">
        <f t="shared" si="1"/>
        <v>2</v>
      </c>
      <c r="O95" s="314"/>
      <c r="P95" s="314"/>
      <c r="Q95" s="314"/>
      <c r="R95" s="314"/>
      <c r="S95" s="315"/>
    </row>
    <row r="96" spans="1:19" s="317" customFormat="1">
      <c r="A96" s="309" t="str">
        <f>HYPERLINK("http://www.wantgoo.com/stock/chart.aspx?stockno=4995","4995")</f>
        <v>4995</v>
      </c>
      <c r="B96" s="310"/>
      <c r="C96" s="311">
        <f>VLOOKUP(4995,季財報!A:H,3)</f>
        <v>0</v>
      </c>
      <c r="D96" s="311">
        <f>VLOOKUP(4995,季財報!A:H,4)</f>
        <v>1</v>
      </c>
      <c r="E96" s="311">
        <f>VLOOKUP(4995,季財報!A:H,5)</f>
        <v>0</v>
      </c>
      <c r="F96" s="311">
        <f>VLOOKUP(4995,季財報!A:H,6)</f>
        <v>1</v>
      </c>
      <c r="G96" s="311">
        <f>VLOOKUP(4995,季財報!A:H,7)</f>
        <v>0</v>
      </c>
      <c r="H96" s="312"/>
      <c r="I96" s="312"/>
      <c r="J96" s="312"/>
      <c r="K96" s="312"/>
      <c r="L96" s="312"/>
      <c r="M96" s="313"/>
      <c r="N96" s="312">
        <f t="shared" si="1"/>
        <v>2</v>
      </c>
      <c r="O96" s="314"/>
      <c r="P96" s="314"/>
      <c r="Q96" s="314"/>
      <c r="R96" s="314"/>
      <c r="S96" s="315"/>
    </row>
    <row r="97" spans="1:19" s="317" customFormat="1">
      <c r="A97" s="309" t="str">
        <f>HYPERLINK("http://www.wantgoo.com/stock/chart.aspx?stockno=8942","8942")</f>
        <v>8942</v>
      </c>
      <c r="B97" s="310"/>
      <c r="C97" s="311">
        <f>VLOOKUP(8942,季財報!A:H,3)</f>
        <v>1</v>
      </c>
      <c r="D97" s="311">
        <f>VLOOKUP(8942,季財報!A:H,4)</f>
        <v>1</v>
      </c>
      <c r="E97" s="311">
        <f>VLOOKUP(8942,季財報!A:H,5)</f>
        <v>0</v>
      </c>
      <c r="F97" s="311">
        <f>VLOOKUP(8942,季財報!A:H,6)</f>
        <v>1</v>
      </c>
      <c r="G97" s="311">
        <f>VLOOKUP(8942,季財報!A:H,7)</f>
        <v>0</v>
      </c>
      <c r="H97" s="312"/>
      <c r="I97" s="312"/>
      <c r="J97" s="312"/>
      <c r="K97" s="312"/>
      <c r="L97" s="312"/>
      <c r="M97" s="313"/>
      <c r="N97" s="312">
        <f t="shared" si="1"/>
        <v>3</v>
      </c>
      <c r="O97" s="314"/>
      <c r="P97" s="314"/>
      <c r="Q97" s="314"/>
      <c r="R97" s="314"/>
      <c r="S97" s="315"/>
    </row>
    <row r="98" spans="1:19" s="317" customFormat="1">
      <c r="A98" s="309" t="str">
        <f>HYPERLINK("http://www.wantgoo.com/stock/chart.aspx?stockno=1582","1582")</f>
        <v>1582</v>
      </c>
      <c r="B98" s="310"/>
      <c r="C98" s="311">
        <f>VLOOKUP(1582,季財報!A:H,3)</f>
        <v>1</v>
      </c>
      <c r="D98" s="311">
        <f>VLOOKUP(1582,季財報!A:H,4)</f>
        <v>1</v>
      </c>
      <c r="E98" s="311">
        <f>VLOOKUP(1582,季財報!A:H,5)</f>
        <v>0</v>
      </c>
      <c r="F98" s="311">
        <f>VLOOKUP(1582,季財報!A:H,6)</f>
        <v>1</v>
      </c>
      <c r="G98" s="311">
        <f>VLOOKUP(1582,季財報!A:H,7)</f>
        <v>0</v>
      </c>
      <c r="H98" s="312"/>
      <c r="I98" s="312"/>
      <c r="J98" s="312"/>
      <c r="K98" s="312"/>
      <c r="L98" s="312"/>
      <c r="M98" s="313"/>
      <c r="N98" s="312">
        <f t="shared" si="1"/>
        <v>3</v>
      </c>
      <c r="O98" s="314"/>
      <c r="P98" s="314"/>
      <c r="Q98" s="314"/>
      <c r="R98" s="314"/>
      <c r="S98" s="315"/>
    </row>
    <row r="99" spans="1:19" s="317" customFormat="1">
      <c r="A99" s="309" t="str">
        <f>HYPERLINK("http://www.wantgoo.com/stock/chart.aspx?stockno=8905","8905")</f>
        <v>8905</v>
      </c>
      <c r="B99" s="310"/>
      <c r="C99" s="311">
        <f>VLOOKUP(8905,季財報!A:H,3)</f>
        <v>0</v>
      </c>
      <c r="D99" s="311">
        <f>VLOOKUP(8905,季財報!A:H,4)</f>
        <v>1</v>
      </c>
      <c r="E99" s="311">
        <f>VLOOKUP(8905,季財報!A:H,5)</f>
        <v>0</v>
      </c>
      <c r="F99" s="311">
        <f>VLOOKUP(8905,季財報!A:H,6)</f>
        <v>0</v>
      </c>
      <c r="G99" s="311">
        <f>VLOOKUP(8905,季財報!A:H,7)</f>
        <v>0</v>
      </c>
      <c r="H99" s="312"/>
      <c r="I99" s="312"/>
      <c r="J99" s="312"/>
      <c r="K99" s="312"/>
      <c r="L99" s="312"/>
      <c r="M99" s="313"/>
      <c r="N99" s="312">
        <f t="shared" si="1"/>
        <v>1</v>
      </c>
      <c r="O99" s="314"/>
      <c r="P99" s="314"/>
      <c r="Q99" s="314"/>
      <c r="R99" s="314"/>
      <c r="S99" s="315"/>
    </row>
    <row r="100" spans="1:19" s="317" customFormat="1">
      <c r="A100" s="309" t="str">
        <f>HYPERLINK("http://www.wantgoo.com/stock/chart.aspx?stockno=2404","2404")</f>
        <v>2404</v>
      </c>
      <c r="B100" s="310"/>
      <c r="C100" s="311">
        <f>VLOOKUP(2404,季財報!A:H,3)</f>
        <v>0</v>
      </c>
      <c r="D100" s="311">
        <f>VLOOKUP(2404,季財報!A:H,4)</f>
        <v>1</v>
      </c>
      <c r="E100" s="311">
        <f>VLOOKUP(2404,季財報!A:H,5)</f>
        <v>1</v>
      </c>
      <c r="F100" s="311">
        <f>VLOOKUP(2404,季財報!A:H,6)</f>
        <v>1</v>
      </c>
      <c r="G100" s="311">
        <f>VLOOKUP(2404,季財報!A:H,7)</f>
        <v>0</v>
      </c>
      <c r="H100" s="312"/>
      <c r="I100" s="312"/>
      <c r="J100" s="312"/>
      <c r="K100" s="312"/>
      <c r="L100" s="312"/>
      <c r="M100" s="313"/>
      <c r="N100" s="312">
        <f t="shared" si="1"/>
        <v>3</v>
      </c>
      <c r="O100" s="314"/>
      <c r="P100" s="314"/>
      <c r="Q100" s="314"/>
      <c r="R100" s="314"/>
      <c r="S100" s="315"/>
    </row>
    <row r="101" spans="1:19" s="317" customFormat="1">
      <c r="A101" s="309" t="str">
        <f>HYPERLINK("http://www.wantgoo.com/stock/chart.aspx?stockno=5234","5234")</f>
        <v>5234</v>
      </c>
      <c r="B101" s="310"/>
      <c r="C101" s="311">
        <f>VLOOKUP(5234,季財報!A:H,3)</f>
        <v>0</v>
      </c>
      <c r="D101" s="311">
        <f>VLOOKUP(5234,季財報!A:H,4)</f>
        <v>1</v>
      </c>
      <c r="E101" s="311">
        <f>VLOOKUP(5234,季財報!A:H,5)</f>
        <v>1</v>
      </c>
      <c r="F101" s="311">
        <f>VLOOKUP(5234,季財報!A:H,6)</f>
        <v>1</v>
      </c>
      <c r="G101" s="311">
        <f>VLOOKUP(5234,季財報!A:H,7)</f>
        <v>0</v>
      </c>
      <c r="H101" s="312"/>
      <c r="I101" s="312"/>
      <c r="J101" s="312"/>
      <c r="K101" s="312"/>
      <c r="L101" s="312"/>
      <c r="M101" s="313"/>
      <c r="N101" s="312">
        <f t="shared" si="1"/>
        <v>3</v>
      </c>
      <c r="O101" s="314"/>
      <c r="P101" s="314"/>
      <c r="Q101" s="314"/>
      <c r="R101" s="314"/>
      <c r="S101" s="315"/>
    </row>
    <row r="102" spans="1:19" s="317" customFormat="1">
      <c r="A102" s="309" t="str">
        <f>HYPERLINK("http://www.wantgoo.com/stock/chart.aspx?stockno=5534","5534")</f>
        <v>5534</v>
      </c>
      <c r="B102" s="310"/>
      <c r="C102" s="311">
        <f>VLOOKUP(5534,季財報!A:H,3)</f>
        <v>0</v>
      </c>
      <c r="D102" s="311">
        <f>VLOOKUP(5534,季財報!A:H,4)</f>
        <v>1</v>
      </c>
      <c r="E102" s="311">
        <f>VLOOKUP(5534,季財報!A:H,5)</f>
        <v>0</v>
      </c>
      <c r="F102" s="311">
        <f>VLOOKUP(5534,季財報!A:H,6)</f>
        <v>1</v>
      </c>
      <c r="G102" s="311">
        <f>VLOOKUP(5534,季財報!A:H,7)</f>
        <v>0</v>
      </c>
      <c r="H102" s="312"/>
      <c r="I102" s="312"/>
      <c r="J102" s="312"/>
      <c r="K102" s="312"/>
      <c r="L102" s="312"/>
      <c r="M102" s="313"/>
      <c r="N102" s="312">
        <f t="shared" si="1"/>
        <v>2</v>
      </c>
      <c r="O102" s="314"/>
      <c r="P102" s="314"/>
      <c r="Q102" s="314"/>
      <c r="R102" s="314"/>
      <c r="S102" s="315"/>
    </row>
    <row r="103" spans="1:19" s="317" customFormat="1">
      <c r="A103" s="309" t="str">
        <f>HYPERLINK("http://www.wantgoo.com/stock/chart.aspx?stockno=8420","8420")</f>
        <v>8420</v>
      </c>
      <c r="B103" s="310"/>
      <c r="C103" s="311">
        <f>VLOOKUP(8420,季財報!A:H,3)</f>
        <v>0</v>
      </c>
      <c r="D103" s="311">
        <f>VLOOKUP(8420,季財報!A:H,4)</f>
        <v>1</v>
      </c>
      <c r="E103" s="311">
        <f>VLOOKUP(8420,季財報!A:H,5)</f>
        <v>0</v>
      </c>
      <c r="F103" s="311">
        <f>VLOOKUP(8420,季財報!A:H,6)</f>
        <v>1</v>
      </c>
      <c r="G103" s="311">
        <f>VLOOKUP(8420,季財報!A:H,7)</f>
        <v>0</v>
      </c>
      <c r="H103" s="312"/>
      <c r="I103" s="312"/>
      <c r="J103" s="312"/>
      <c r="K103" s="312"/>
      <c r="L103" s="312"/>
      <c r="M103" s="313"/>
      <c r="N103" s="312">
        <f t="shared" si="1"/>
        <v>2</v>
      </c>
      <c r="O103" s="314"/>
      <c r="P103" s="314"/>
      <c r="Q103" s="314"/>
      <c r="R103" s="314"/>
      <c r="S103" s="315"/>
    </row>
    <row r="104" spans="1:19" s="317" customFormat="1">
      <c r="A104" s="309" t="str">
        <f>HYPERLINK("http://www.wantgoo.com/stock/chart.aspx?stockno=4972","4972")</f>
        <v>4972</v>
      </c>
      <c r="B104" s="310"/>
      <c r="C104" s="311">
        <f>VLOOKUP(4972,季財報!A:H,3)</f>
        <v>1</v>
      </c>
      <c r="D104" s="311">
        <f>VLOOKUP(4972,季財報!A:H,4)</f>
        <v>1</v>
      </c>
      <c r="E104" s="311">
        <f>VLOOKUP(4972,季財報!A:H,5)</f>
        <v>0</v>
      </c>
      <c r="F104" s="311">
        <f>VLOOKUP(4972,季財報!A:H,6)</f>
        <v>1</v>
      </c>
      <c r="G104" s="311">
        <f>VLOOKUP(4972,季財報!A:H,7)</f>
        <v>0</v>
      </c>
      <c r="H104" s="312"/>
      <c r="I104" s="312"/>
      <c r="J104" s="312"/>
      <c r="K104" s="312"/>
      <c r="L104" s="312"/>
      <c r="M104" s="313"/>
      <c r="N104" s="312">
        <f t="shared" si="1"/>
        <v>3</v>
      </c>
      <c r="O104" s="314"/>
      <c r="P104" s="314"/>
      <c r="Q104" s="314"/>
      <c r="R104" s="314"/>
      <c r="S104" s="315"/>
    </row>
    <row r="105" spans="1:19" s="317" customFormat="1">
      <c r="A105" s="309" t="str">
        <f>HYPERLINK("http://www.wantgoo.com/stock/chart.aspx?stockno=5464","5464")</f>
        <v>5464</v>
      </c>
      <c r="B105" s="310"/>
      <c r="C105" s="311">
        <f>VLOOKUP(5464,季財報!A:H,3)</f>
        <v>0</v>
      </c>
      <c r="D105" s="311">
        <f>VLOOKUP(5464,季財報!A:H,4)</f>
        <v>1</v>
      </c>
      <c r="E105" s="311">
        <f>VLOOKUP(5464,季財報!A:H,5)</f>
        <v>0</v>
      </c>
      <c r="F105" s="311">
        <f>VLOOKUP(5464,季財報!A:H,6)</f>
        <v>1</v>
      </c>
      <c r="G105" s="311">
        <f>VLOOKUP(5464,季財報!A:H,7)</f>
        <v>0</v>
      </c>
      <c r="H105" s="312"/>
      <c r="I105" s="312"/>
      <c r="J105" s="312"/>
      <c r="K105" s="312"/>
      <c r="L105" s="312"/>
      <c r="M105" s="313"/>
      <c r="N105" s="312">
        <f t="shared" si="1"/>
        <v>2</v>
      </c>
      <c r="O105" s="314"/>
      <c r="P105" s="314"/>
      <c r="Q105" s="314"/>
      <c r="R105" s="314"/>
      <c r="S105" s="315"/>
    </row>
    <row r="106" spans="1:19" s="317" customFormat="1">
      <c r="A106" s="309" t="str">
        <f>HYPERLINK("http://www.wantgoo.com/stock/chart.aspx?stockno=1583","1583")</f>
        <v>1583</v>
      </c>
      <c r="B106" s="310"/>
      <c r="C106" s="311">
        <f>VLOOKUP(1583,季財報!A:H,3)</f>
        <v>0</v>
      </c>
      <c r="D106" s="311">
        <f>VLOOKUP(1583,季財報!A:H,4)</f>
        <v>1</v>
      </c>
      <c r="E106" s="311">
        <f>VLOOKUP(1583,季財報!A:H,5)</f>
        <v>0</v>
      </c>
      <c r="F106" s="311">
        <f>VLOOKUP(1583,季財報!A:H,6)</f>
        <v>0</v>
      </c>
      <c r="G106" s="311">
        <f>VLOOKUP(1583,季財報!A:H,7)</f>
        <v>0</v>
      </c>
      <c r="H106" s="312"/>
      <c r="I106" s="312"/>
      <c r="J106" s="312"/>
      <c r="K106" s="312"/>
      <c r="L106" s="312"/>
      <c r="M106" s="313"/>
      <c r="N106" s="312">
        <f t="shared" si="1"/>
        <v>1</v>
      </c>
      <c r="O106" s="314"/>
      <c r="P106" s="314"/>
      <c r="Q106" s="314"/>
      <c r="R106" s="314"/>
      <c r="S106" s="315"/>
    </row>
    <row r="107" spans="1:19" s="317" customFormat="1">
      <c r="A107" s="309" t="str">
        <f>HYPERLINK("http://www.wantgoo.com/stock/chart.aspx?stockno=5603","5603")</f>
        <v>5603</v>
      </c>
      <c r="B107" s="310"/>
      <c r="C107" s="311">
        <f>VLOOKUP(5603,季財報!A:H,3)</f>
        <v>0</v>
      </c>
      <c r="D107" s="311">
        <f>VLOOKUP(5603,季財報!A:H,4)</f>
        <v>1</v>
      </c>
      <c r="E107" s="311">
        <f>VLOOKUP(5603,季財報!A:H,5)</f>
        <v>0</v>
      </c>
      <c r="F107" s="311">
        <f>VLOOKUP(5603,季財報!A:H,6)</f>
        <v>1</v>
      </c>
      <c r="G107" s="311">
        <f>VLOOKUP(5603,季財報!A:H,7)</f>
        <v>0</v>
      </c>
      <c r="H107" s="312"/>
      <c r="I107" s="312"/>
      <c r="J107" s="312"/>
      <c r="K107" s="312"/>
      <c r="L107" s="312"/>
      <c r="M107" s="313"/>
      <c r="N107" s="312">
        <f t="shared" si="1"/>
        <v>2</v>
      </c>
      <c r="O107" s="314"/>
      <c r="P107" s="314"/>
      <c r="Q107" s="314"/>
      <c r="R107" s="314"/>
      <c r="S107" s="315"/>
    </row>
    <row r="108" spans="1:19" s="317" customFormat="1">
      <c r="A108" s="309" t="str">
        <f>HYPERLINK("http://www.wantgoo.com/stock/chart.aspx?stockno=3034","3034")</f>
        <v>3034</v>
      </c>
      <c r="B108" s="310"/>
      <c r="C108" s="311">
        <f>VLOOKUP(3034,季財報!A:H,3)</f>
        <v>0</v>
      </c>
      <c r="D108" s="311">
        <f>VLOOKUP(3034,季財報!A:H,4)</f>
        <v>1</v>
      </c>
      <c r="E108" s="311">
        <f>VLOOKUP(3034,季財報!A:H,5)</f>
        <v>1</v>
      </c>
      <c r="F108" s="311">
        <f>VLOOKUP(3034,季財報!A:H,6)</f>
        <v>1</v>
      </c>
      <c r="G108" s="311">
        <f>VLOOKUP(3034,季財報!A:H,7)</f>
        <v>0</v>
      </c>
      <c r="H108" s="312"/>
      <c r="I108" s="312"/>
      <c r="J108" s="312"/>
      <c r="K108" s="312"/>
      <c r="L108" s="312"/>
      <c r="M108" s="313"/>
      <c r="N108" s="312">
        <f t="shared" si="1"/>
        <v>3</v>
      </c>
      <c r="O108" s="314"/>
      <c r="P108" s="314"/>
      <c r="Q108" s="314"/>
      <c r="R108" s="314"/>
      <c r="S108" s="315"/>
    </row>
    <row r="109" spans="1:19" s="317" customFormat="1">
      <c r="A109" s="309" t="str">
        <f>HYPERLINK("http://www.wantgoo.com/stock/chart.aspx?stockno=1215","1215")</f>
        <v>1215</v>
      </c>
      <c r="B109" s="310"/>
      <c r="C109" s="311">
        <f>VLOOKUP(1215,季財報!A:H,3)</f>
        <v>0</v>
      </c>
      <c r="D109" s="311">
        <f>VLOOKUP(1215,季財報!A:H,4)</f>
        <v>1</v>
      </c>
      <c r="E109" s="311">
        <f>VLOOKUP(1215,季財報!A:H,5)</f>
        <v>1</v>
      </c>
      <c r="F109" s="311">
        <f>VLOOKUP(1215,季財報!A:H,6)</f>
        <v>1</v>
      </c>
      <c r="G109" s="311">
        <f>VLOOKUP(1215,季財報!A:H,7)</f>
        <v>0</v>
      </c>
      <c r="H109" s="312"/>
      <c r="I109" s="312"/>
      <c r="J109" s="312"/>
      <c r="K109" s="312"/>
      <c r="L109" s="312"/>
      <c r="M109" s="313"/>
      <c r="N109" s="312">
        <f t="shared" si="1"/>
        <v>3</v>
      </c>
      <c r="O109" s="314"/>
      <c r="P109" s="314"/>
      <c r="Q109" s="314"/>
      <c r="R109" s="314"/>
      <c r="S109" s="315"/>
    </row>
    <row r="110" spans="1:19" s="317" customFormat="1">
      <c r="A110" s="309" t="str">
        <f>HYPERLINK("http://www.wantgoo.com/stock/chart.aspx?stockno=4513","4513")</f>
        <v>4513</v>
      </c>
      <c r="B110" s="310"/>
      <c r="C110" s="311">
        <f>VLOOKUP(4513,季財報!A:H,3)</f>
        <v>1</v>
      </c>
      <c r="D110" s="311">
        <f>VLOOKUP(4513,季財報!A:H,4)</f>
        <v>1</v>
      </c>
      <c r="E110" s="311">
        <f>VLOOKUP(4513,季財報!A:H,5)</f>
        <v>0</v>
      </c>
      <c r="F110" s="311">
        <f>VLOOKUP(4513,季財報!A:H,6)</f>
        <v>1</v>
      </c>
      <c r="G110" s="311">
        <f>VLOOKUP(4513,季財報!A:H,7)</f>
        <v>0</v>
      </c>
      <c r="H110" s="312"/>
      <c r="I110" s="312"/>
      <c r="J110" s="312"/>
      <c r="K110" s="312"/>
      <c r="L110" s="312"/>
      <c r="M110" s="313"/>
      <c r="N110" s="312">
        <f t="shared" si="1"/>
        <v>3</v>
      </c>
      <c r="O110" s="314"/>
      <c r="P110" s="314"/>
      <c r="Q110" s="314"/>
      <c r="R110" s="314"/>
      <c r="S110" s="315"/>
    </row>
    <row r="111" spans="1:19" s="317" customFormat="1">
      <c r="A111" s="309" t="str">
        <f>HYPERLINK("http://www.wantgoo.com/stock/chart.aspx?stockno=1580","1580")</f>
        <v>1580</v>
      </c>
      <c r="B111" s="310"/>
      <c r="C111" s="311">
        <f>VLOOKUP(1580,季財報!A:H,3)</f>
        <v>0</v>
      </c>
      <c r="D111" s="311">
        <f>VLOOKUP(1580,季財報!A:H,4)</f>
        <v>1</v>
      </c>
      <c r="E111" s="311">
        <f>VLOOKUP(1580,季財報!A:H,5)</f>
        <v>0</v>
      </c>
      <c r="F111" s="311">
        <f>VLOOKUP(1580,季財報!A:H,6)</f>
        <v>0</v>
      </c>
      <c r="G111" s="311">
        <f>VLOOKUP(1580,季財報!A:H,7)</f>
        <v>0</v>
      </c>
      <c r="H111" s="312"/>
      <c r="I111" s="312"/>
      <c r="J111" s="312"/>
      <c r="K111" s="312"/>
      <c r="L111" s="312"/>
      <c r="M111" s="313"/>
      <c r="N111" s="312">
        <f t="shared" si="1"/>
        <v>1</v>
      </c>
      <c r="O111" s="314"/>
      <c r="P111" s="314"/>
      <c r="Q111" s="314"/>
      <c r="R111" s="314"/>
      <c r="S111" s="315"/>
    </row>
    <row r="112" spans="1:19" s="317" customFormat="1">
      <c r="A112" s="309" t="str">
        <f>HYPERLINK("http://www.wantgoo.com/stock/chart.aspx?stockno=8086","8086")</f>
        <v>8086</v>
      </c>
      <c r="B112" s="310"/>
      <c r="C112" s="311">
        <f>VLOOKUP(8086,季財報!A:H,3)</f>
        <v>1</v>
      </c>
      <c r="D112" s="311">
        <f>VLOOKUP(8086,季財報!A:H,4)</f>
        <v>1</v>
      </c>
      <c r="E112" s="311">
        <f>VLOOKUP(8086,季財報!A:H,5)</f>
        <v>2</v>
      </c>
      <c r="F112" s="311">
        <f>VLOOKUP(8086,季財報!A:H,6)</f>
        <v>1</v>
      </c>
      <c r="G112" s="311">
        <f>VLOOKUP(8086,季財報!A:H,7)</f>
        <v>0</v>
      </c>
      <c r="H112" s="312"/>
      <c r="I112" s="312"/>
      <c r="J112" s="312"/>
      <c r="K112" s="312"/>
      <c r="L112" s="312"/>
      <c r="M112" s="313"/>
      <c r="N112" s="312">
        <f t="shared" si="1"/>
        <v>5</v>
      </c>
      <c r="O112" s="314"/>
      <c r="P112" s="314"/>
      <c r="Q112" s="314"/>
      <c r="R112" s="314"/>
      <c r="S112" s="315"/>
    </row>
    <row r="113" spans="1:19" s="317" customFormat="1">
      <c r="A113" s="309" t="str">
        <f>HYPERLINK("http://www.wantgoo.com/stock/chart.aspx?stockno=3051","3051")</f>
        <v>3051</v>
      </c>
      <c r="B113" s="310"/>
      <c r="C113" s="311">
        <f>VLOOKUP(3051,季財報!A:H,3)</f>
        <v>0</v>
      </c>
      <c r="D113" s="311">
        <f>VLOOKUP(3051,季財報!A:H,4)</f>
        <v>1</v>
      </c>
      <c r="E113" s="311">
        <f>VLOOKUP(3051,季財報!A:H,5)</f>
        <v>0</v>
      </c>
      <c r="F113" s="311">
        <f>VLOOKUP(3051,季財報!A:H,6)</f>
        <v>1</v>
      </c>
      <c r="G113" s="311">
        <f>VLOOKUP(3051,季財報!A:H,7)</f>
        <v>0</v>
      </c>
      <c r="H113" s="312"/>
      <c r="I113" s="312"/>
      <c r="J113" s="312"/>
      <c r="K113" s="312"/>
      <c r="L113" s="312"/>
      <c r="M113" s="313"/>
      <c r="N113" s="312">
        <f t="shared" si="1"/>
        <v>2</v>
      </c>
      <c r="O113" s="314"/>
      <c r="P113" s="314"/>
      <c r="Q113" s="314"/>
      <c r="R113" s="314"/>
      <c r="S113" s="315"/>
    </row>
    <row r="114" spans="1:19" s="317" customFormat="1">
      <c r="A114" s="309" t="str">
        <f>HYPERLINK("http://www.wantgoo.com/stock/chart.aspx?stockno=8088","8088")</f>
        <v>8088</v>
      </c>
      <c r="B114" s="310"/>
      <c r="C114" s="311">
        <f>VLOOKUP(8088,季財報!A:H,3)</f>
        <v>0</v>
      </c>
      <c r="D114" s="311">
        <f>VLOOKUP(8088,季財報!A:H,4)</f>
        <v>1</v>
      </c>
      <c r="E114" s="311">
        <f>VLOOKUP(8088,季財報!A:H,5)</f>
        <v>1</v>
      </c>
      <c r="F114" s="311">
        <f>VLOOKUP(8088,季財報!A:H,6)</f>
        <v>0</v>
      </c>
      <c r="G114" s="311">
        <f>VLOOKUP(8088,季財報!A:H,7)</f>
        <v>0</v>
      </c>
      <c r="H114" s="312"/>
      <c r="I114" s="312"/>
      <c r="J114" s="312"/>
      <c r="K114" s="312"/>
      <c r="L114" s="312"/>
      <c r="M114" s="313"/>
      <c r="N114" s="312">
        <f t="shared" si="1"/>
        <v>2</v>
      </c>
      <c r="O114" s="314"/>
      <c r="P114" s="314"/>
      <c r="Q114" s="314"/>
      <c r="R114" s="314"/>
      <c r="S114" s="315"/>
    </row>
    <row r="115" spans="1:19" s="317" customFormat="1">
      <c r="A115" s="309" t="str">
        <f>HYPERLINK("http://www.wantgoo.com/stock/chart.aspx?stockno=2420","2420")</f>
        <v>2420</v>
      </c>
      <c r="B115" s="310"/>
      <c r="C115" s="311">
        <f>VLOOKUP(2420,季財報!A:H,3)</f>
        <v>1</v>
      </c>
      <c r="D115" s="311">
        <f>VLOOKUP(2420,季財報!A:H,4)</f>
        <v>1</v>
      </c>
      <c r="E115" s="311">
        <f>VLOOKUP(2420,季財報!A:H,5)</f>
        <v>0</v>
      </c>
      <c r="F115" s="311">
        <f>VLOOKUP(2420,季財報!A:H,6)</f>
        <v>1</v>
      </c>
      <c r="G115" s="311">
        <f>VLOOKUP(2420,季財報!A:H,7)</f>
        <v>0</v>
      </c>
      <c r="H115" s="312"/>
      <c r="I115" s="312"/>
      <c r="J115" s="312"/>
      <c r="K115" s="312"/>
      <c r="L115" s="312"/>
      <c r="M115" s="313"/>
      <c r="N115" s="312">
        <f t="shared" si="1"/>
        <v>3</v>
      </c>
      <c r="O115" s="314"/>
      <c r="P115" s="314"/>
      <c r="Q115" s="314"/>
      <c r="R115" s="314"/>
      <c r="S115" s="315"/>
    </row>
    <row r="116" spans="1:19" s="317" customFormat="1">
      <c r="A116" s="309" t="str">
        <f>HYPERLINK("http://www.wantgoo.com/stock/chart.aspx?stockno=3481","3481")</f>
        <v>3481</v>
      </c>
      <c r="B116" s="310"/>
      <c r="C116" s="311">
        <f>VLOOKUP(3481,季財報!A:H,3)</f>
        <v>0</v>
      </c>
      <c r="D116" s="311">
        <f>VLOOKUP(3481,季財報!A:H,4)</f>
        <v>0</v>
      </c>
      <c r="E116" s="311">
        <f>VLOOKUP(3481,季財報!A:H,5)</f>
        <v>0</v>
      </c>
      <c r="F116" s="311">
        <f>VLOOKUP(3481,季財報!A:H,6)</f>
        <v>1</v>
      </c>
      <c r="G116" s="311">
        <f>VLOOKUP(3481,季財報!A:H,7)</f>
        <v>0</v>
      </c>
      <c r="H116" s="312"/>
      <c r="I116" s="312"/>
      <c r="J116" s="312"/>
      <c r="K116" s="312"/>
      <c r="L116" s="312"/>
      <c r="M116" s="313"/>
      <c r="N116" s="312">
        <f t="shared" si="1"/>
        <v>1</v>
      </c>
      <c r="O116" s="314"/>
      <c r="P116" s="314"/>
      <c r="Q116" s="314"/>
      <c r="R116" s="314"/>
      <c r="S116" s="315"/>
    </row>
    <row r="117" spans="1:19" s="317" customFormat="1">
      <c r="A117" s="309" t="str">
        <f>HYPERLINK("http://www.wantgoo.com/stock/chart.aspx?stockno=4977","4977")</f>
        <v>4977</v>
      </c>
      <c r="B117" s="310"/>
      <c r="C117" s="311">
        <f>VLOOKUP(4977,季財報!A:H,3)</f>
        <v>0</v>
      </c>
      <c r="D117" s="311">
        <f>VLOOKUP(4977,季財報!A:H,4)</f>
        <v>1</v>
      </c>
      <c r="E117" s="311">
        <f>VLOOKUP(4977,季財報!A:H,5)</f>
        <v>2</v>
      </c>
      <c r="F117" s="311">
        <f>VLOOKUP(4977,季財報!A:H,6)</f>
        <v>1</v>
      </c>
      <c r="G117" s="311">
        <f>VLOOKUP(4977,季財報!A:H,7)</f>
        <v>0</v>
      </c>
      <c r="H117" s="312"/>
      <c r="I117" s="312"/>
      <c r="J117" s="312"/>
      <c r="K117" s="312"/>
      <c r="L117" s="312"/>
      <c r="M117" s="313"/>
      <c r="N117" s="312">
        <f t="shared" si="1"/>
        <v>4</v>
      </c>
      <c r="O117" s="314"/>
      <c r="P117" s="314"/>
      <c r="Q117" s="314"/>
      <c r="R117" s="314"/>
      <c r="S117" s="315"/>
    </row>
    <row r="118" spans="1:19" s="317" customFormat="1">
      <c r="A118" s="309" t="str">
        <f>HYPERLINK("http://www.wantgoo.com/stock/chart.aspx?stockno=5511","5511")</f>
        <v>5511</v>
      </c>
      <c r="B118" s="310"/>
      <c r="C118" s="311">
        <f>VLOOKUP(5511,季財報!A:H,3)</f>
        <v>0</v>
      </c>
      <c r="D118" s="311">
        <f>VLOOKUP(5511,季財報!A:H,4)</f>
        <v>0</v>
      </c>
      <c r="E118" s="311">
        <f>VLOOKUP(5511,季財報!A:H,5)</f>
        <v>0</v>
      </c>
      <c r="F118" s="311">
        <f>VLOOKUP(5511,季財報!A:H,6)</f>
        <v>0</v>
      </c>
      <c r="G118" s="311">
        <f>VLOOKUP(5511,季財報!A:H,7)</f>
        <v>0</v>
      </c>
      <c r="H118" s="312"/>
      <c r="I118" s="312"/>
      <c r="J118" s="312"/>
      <c r="K118" s="312"/>
      <c r="L118" s="312"/>
      <c r="M118" s="313"/>
      <c r="N118" s="312">
        <f t="shared" si="1"/>
        <v>0</v>
      </c>
      <c r="O118" s="314"/>
      <c r="P118" s="314"/>
      <c r="Q118" s="314"/>
      <c r="R118" s="314"/>
      <c r="S118" s="315"/>
    </row>
    <row r="119" spans="1:19" s="317" customFormat="1">
      <c r="A119" s="309" t="str">
        <f>HYPERLINK("http://www.wantgoo.com/stock/chart.aspx?stockno=6224","6224")</f>
        <v>6224</v>
      </c>
      <c r="B119" s="310"/>
      <c r="C119" s="311">
        <f>VLOOKUP(6224,季財報!A:H,3)</f>
        <v>0</v>
      </c>
      <c r="D119" s="311">
        <f>VLOOKUP(6224,季財報!A:H,4)</f>
        <v>1</v>
      </c>
      <c r="E119" s="311">
        <f>VLOOKUP(6224,季財報!A:H,5)</f>
        <v>0</v>
      </c>
      <c r="F119" s="311">
        <f>VLOOKUP(6224,季財報!A:H,6)</f>
        <v>1</v>
      </c>
      <c r="G119" s="311">
        <f>VLOOKUP(6224,季財報!A:H,7)</f>
        <v>0</v>
      </c>
      <c r="H119" s="312"/>
      <c r="I119" s="312"/>
      <c r="J119" s="312"/>
      <c r="K119" s="312"/>
      <c r="L119" s="312"/>
      <c r="M119" s="313"/>
      <c r="N119" s="312">
        <f t="shared" si="1"/>
        <v>2</v>
      </c>
      <c r="O119" s="314"/>
      <c r="P119" s="314"/>
      <c r="Q119" s="314"/>
      <c r="R119" s="314"/>
      <c r="S119" s="315"/>
    </row>
    <row r="120" spans="1:19" s="317" customFormat="1">
      <c r="A120" s="309" t="str">
        <f>HYPERLINK("http://www.wantgoo.com/stock/chart.aspx?stockno=5276","5276")</f>
        <v>5276</v>
      </c>
      <c r="B120" s="310"/>
      <c r="C120" s="311">
        <f>VLOOKUP(5276,季財報!A:H,3)</f>
        <v>0</v>
      </c>
      <c r="D120" s="311">
        <f>VLOOKUP(5276,季財報!A:H,4)</f>
        <v>1</v>
      </c>
      <c r="E120" s="311">
        <f>VLOOKUP(5276,季財報!A:H,5)</f>
        <v>0</v>
      </c>
      <c r="F120" s="311">
        <f>VLOOKUP(5276,季財報!A:H,6)</f>
        <v>1</v>
      </c>
      <c r="G120" s="311">
        <f>VLOOKUP(5276,季財報!A:H,7)</f>
        <v>0</v>
      </c>
      <c r="H120" s="312"/>
      <c r="I120" s="312"/>
      <c r="J120" s="312"/>
      <c r="K120" s="312"/>
      <c r="L120" s="312"/>
      <c r="M120" s="313"/>
      <c r="N120" s="312">
        <f t="shared" si="1"/>
        <v>2</v>
      </c>
      <c r="O120" s="314"/>
      <c r="P120" s="314"/>
      <c r="Q120" s="314"/>
      <c r="R120" s="314"/>
      <c r="S120" s="315"/>
    </row>
    <row r="121" spans="1:19" s="317" customFormat="1">
      <c r="A121" s="309" t="str">
        <f>HYPERLINK("http://www.wantgoo.com/stock/chart.aspx?stockno=1526","1526")</f>
        <v>1526</v>
      </c>
      <c r="B121" s="310"/>
      <c r="C121" s="311">
        <f>VLOOKUP(1526,季財報!A:H,3)</f>
        <v>1</v>
      </c>
      <c r="D121" s="311">
        <f>VLOOKUP(1526,季財報!A:H,4)</f>
        <v>1</v>
      </c>
      <c r="E121" s="311">
        <f>VLOOKUP(1526,季財報!A:H,5)</f>
        <v>0</v>
      </c>
      <c r="F121" s="311">
        <f>VLOOKUP(1526,季財報!A:H,6)</f>
        <v>0</v>
      </c>
      <c r="G121" s="311">
        <f>VLOOKUP(1526,季財報!A:H,7)</f>
        <v>1</v>
      </c>
      <c r="H121" s="312"/>
      <c r="I121" s="312"/>
      <c r="J121" s="312"/>
      <c r="K121" s="312"/>
      <c r="L121" s="312"/>
      <c r="M121" s="313"/>
      <c r="N121" s="312">
        <f t="shared" si="1"/>
        <v>3</v>
      </c>
      <c r="O121" s="314"/>
      <c r="P121" s="314"/>
      <c r="Q121" s="314"/>
      <c r="R121" s="314"/>
      <c r="S121" s="315"/>
    </row>
    <row r="122" spans="1:19" s="317" customFormat="1">
      <c r="A122" s="309" t="str">
        <f>HYPERLINK("http://www.wantgoo.com/stock/chart.aspx?stockno=1541","1541")</f>
        <v>1541</v>
      </c>
      <c r="B122" s="310"/>
      <c r="C122" s="311">
        <f>VLOOKUP(1541,季財報!A:H,3)</f>
        <v>1</v>
      </c>
      <c r="D122" s="311">
        <f>VLOOKUP(1541,季財報!A:H,4)</f>
        <v>1</v>
      </c>
      <c r="E122" s="311">
        <f>VLOOKUP(1541,季財報!A:H,5)</f>
        <v>2</v>
      </c>
      <c r="F122" s="311">
        <f>VLOOKUP(1541,季財報!A:H,6)</f>
        <v>0</v>
      </c>
      <c r="G122" s="311">
        <f>VLOOKUP(1541,季財報!A:H,7)</f>
        <v>0</v>
      </c>
      <c r="H122" s="312"/>
      <c r="I122" s="312"/>
      <c r="J122" s="312"/>
      <c r="K122" s="312"/>
      <c r="L122" s="312"/>
      <c r="M122" s="313"/>
      <c r="N122" s="312">
        <f t="shared" si="1"/>
        <v>4</v>
      </c>
      <c r="O122" s="314"/>
      <c r="P122" s="314"/>
      <c r="Q122" s="314"/>
      <c r="R122" s="314"/>
      <c r="S122" s="315"/>
    </row>
    <row r="123" spans="1:19" s="317" customFormat="1">
      <c r="A123" s="309" t="str">
        <f>HYPERLINK("http://www.wantgoo.com/stock/chart.aspx?stockno=2351","2351")</f>
        <v>2351</v>
      </c>
      <c r="B123" s="310"/>
      <c r="C123" s="311">
        <f>VLOOKUP(2351,季財報!A:H,3)</f>
        <v>0</v>
      </c>
      <c r="D123" s="311">
        <f>VLOOKUP(2351,季財報!A:H,4)</f>
        <v>1</v>
      </c>
      <c r="E123" s="311">
        <f>VLOOKUP(2351,季財報!A:H,5)</f>
        <v>0</v>
      </c>
      <c r="F123" s="311">
        <f>VLOOKUP(2351,季財報!A:H,6)</f>
        <v>1</v>
      </c>
      <c r="G123" s="311">
        <f>VLOOKUP(2351,季財報!A:H,7)</f>
        <v>0</v>
      </c>
      <c r="H123" s="312"/>
      <c r="I123" s="312"/>
      <c r="J123" s="312"/>
      <c r="K123" s="312"/>
      <c r="L123" s="312"/>
      <c r="M123" s="313"/>
      <c r="N123" s="312">
        <f t="shared" si="1"/>
        <v>2</v>
      </c>
      <c r="O123" s="314"/>
      <c r="P123" s="314"/>
      <c r="Q123" s="314"/>
      <c r="R123" s="314"/>
      <c r="S123" s="315"/>
    </row>
    <row r="124" spans="1:19" s="317" customFormat="1">
      <c r="A124" s="309" t="str">
        <f>HYPERLINK("http://www.wantgoo.com/stock/chart.aspx?stockno=4952","4952")</f>
        <v>4952</v>
      </c>
      <c r="B124" s="310"/>
      <c r="C124" s="311">
        <f>VLOOKUP(4952,季財報!A:H,3)</f>
        <v>1</v>
      </c>
      <c r="D124" s="311">
        <f>VLOOKUP(4952,季財報!A:H,4)</f>
        <v>1</v>
      </c>
      <c r="E124" s="311">
        <f>VLOOKUP(4952,季財報!A:H,5)</f>
        <v>0</v>
      </c>
      <c r="F124" s="311">
        <f>VLOOKUP(4952,季財報!A:H,6)</f>
        <v>1</v>
      </c>
      <c r="G124" s="311">
        <f>VLOOKUP(4952,季財報!A:H,7)</f>
        <v>0</v>
      </c>
      <c r="H124" s="312"/>
      <c r="I124" s="312"/>
      <c r="J124" s="312"/>
      <c r="K124" s="312"/>
      <c r="L124" s="312"/>
      <c r="M124" s="313"/>
      <c r="N124" s="312">
        <f t="shared" si="1"/>
        <v>3</v>
      </c>
      <c r="O124" s="314"/>
      <c r="P124" s="314"/>
      <c r="Q124" s="314"/>
      <c r="R124" s="314"/>
      <c r="S124" s="315"/>
    </row>
    <row r="125" spans="1:19" s="317" customFormat="1">
      <c r="A125" s="309" t="str">
        <f>HYPERLINK("http://www.wantgoo.com/stock/chart.aspx?stockno=3290","3290")</f>
        <v>3290</v>
      </c>
      <c r="B125" s="310"/>
      <c r="C125" s="311">
        <f>VLOOKUP(3290,季財報!A:H,3)</f>
        <v>0</v>
      </c>
      <c r="D125" s="311">
        <f>VLOOKUP(3290,季財報!A:H,4)</f>
        <v>0</v>
      </c>
      <c r="E125" s="311">
        <f>VLOOKUP(3290,季財報!A:H,5)</f>
        <v>1</v>
      </c>
      <c r="F125" s="311">
        <f>VLOOKUP(3290,季財報!A:H,6)</f>
        <v>0</v>
      </c>
      <c r="G125" s="311">
        <f>VLOOKUP(3290,季財報!A:H,7)</f>
        <v>0</v>
      </c>
      <c r="H125" s="312"/>
      <c r="I125" s="312"/>
      <c r="J125" s="312"/>
      <c r="K125" s="312"/>
      <c r="L125" s="312"/>
      <c r="M125" s="313"/>
      <c r="N125" s="312">
        <f t="shared" si="1"/>
        <v>1</v>
      </c>
      <c r="O125" s="314"/>
      <c r="P125" s="314"/>
      <c r="Q125" s="314"/>
      <c r="R125" s="314"/>
      <c r="S125" s="315"/>
    </row>
    <row r="126" spans="1:19" s="317" customFormat="1">
      <c r="A126" s="309" t="str">
        <f>HYPERLINK("http://www.wantgoo.com/stock/chart.aspx?stockno=1599","1599")</f>
        <v>1599</v>
      </c>
      <c r="B126" s="310"/>
      <c r="C126" s="311">
        <f>VLOOKUP(1599,季財報!A:H,3)</f>
        <v>1</v>
      </c>
      <c r="D126" s="311">
        <f>VLOOKUP(1599,季財報!A:H,4)</f>
        <v>1</v>
      </c>
      <c r="E126" s="311">
        <f>VLOOKUP(1599,季財報!A:H,5)</f>
        <v>0</v>
      </c>
      <c r="F126" s="311">
        <f>VLOOKUP(1599,季財報!A:H,6)</f>
        <v>1</v>
      </c>
      <c r="G126" s="311">
        <f>VLOOKUP(1599,季財報!A:H,7)</f>
        <v>1</v>
      </c>
      <c r="H126" s="312"/>
      <c r="I126" s="312"/>
      <c r="J126" s="312"/>
      <c r="K126" s="312"/>
      <c r="L126" s="312"/>
      <c r="M126" s="313"/>
      <c r="N126" s="312">
        <f t="shared" si="1"/>
        <v>4</v>
      </c>
      <c r="O126" s="314"/>
      <c r="P126" s="314"/>
      <c r="Q126" s="314"/>
      <c r="R126" s="314"/>
      <c r="S126" s="315"/>
    </row>
    <row r="127" spans="1:19" s="317" customFormat="1">
      <c r="A127" s="309" t="str">
        <f>HYPERLINK("http://www.wantgoo.com/stock/chart.aspx?stockno=5434","5434")</f>
        <v>5434</v>
      </c>
      <c r="B127" s="310"/>
      <c r="C127" s="311">
        <f>VLOOKUP(5434,季財報!A:H,3)</f>
        <v>1</v>
      </c>
      <c r="D127" s="311">
        <f>VLOOKUP(5434,季財報!A:H,4)</f>
        <v>1</v>
      </c>
      <c r="E127" s="311">
        <f>VLOOKUP(5434,季財報!A:H,5)</f>
        <v>0</v>
      </c>
      <c r="F127" s="311">
        <f>VLOOKUP(5434,季財報!A:H,6)</f>
        <v>1</v>
      </c>
      <c r="G127" s="311">
        <f>VLOOKUP(5434,季財報!A:H,7)</f>
        <v>0</v>
      </c>
      <c r="H127" s="312"/>
      <c r="I127" s="312"/>
      <c r="J127" s="312"/>
      <c r="K127" s="312"/>
      <c r="L127" s="312"/>
      <c r="M127" s="313"/>
      <c r="N127" s="312">
        <f t="shared" si="1"/>
        <v>3</v>
      </c>
      <c r="O127" s="314"/>
      <c r="P127" s="314"/>
      <c r="Q127" s="314"/>
      <c r="R127" s="314"/>
      <c r="S127" s="315"/>
    </row>
    <row r="128" spans="1:19" s="317" customFormat="1">
      <c r="A128" s="309" t="str">
        <f>HYPERLINK("http://www.wantgoo.com/stock/chart.aspx?stockno=8066","8066")</f>
        <v>8066</v>
      </c>
      <c r="B128" s="310"/>
      <c r="C128" s="311">
        <f>VLOOKUP(8066,季財報!A:H,3)</f>
        <v>1</v>
      </c>
      <c r="D128" s="311">
        <f>VLOOKUP(8066,季財報!A:H,4)</f>
        <v>1</v>
      </c>
      <c r="E128" s="311">
        <f>VLOOKUP(8066,季財報!A:H,5)</f>
        <v>1</v>
      </c>
      <c r="F128" s="311">
        <f>VLOOKUP(8066,季財報!A:H,6)</f>
        <v>1</v>
      </c>
      <c r="G128" s="311">
        <f>VLOOKUP(8066,季財報!A:H,7)</f>
        <v>0</v>
      </c>
      <c r="H128" s="312"/>
      <c r="I128" s="312"/>
      <c r="J128" s="312"/>
      <c r="K128" s="312"/>
      <c r="L128" s="312"/>
      <c r="M128" s="313"/>
      <c r="N128" s="312">
        <f t="shared" si="1"/>
        <v>4</v>
      </c>
      <c r="O128" s="314"/>
      <c r="P128" s="314"/>
      <c r="Q128" s="314"/>
      <c r="R128" s="314"/>
      <c r="S128" s="315"/>
    </row>
    <row r="129" spans="1:19" s="317" customFormat="1">
      <c r="A129" s="309" t="str">
        <f>HYPERLINK("http://www.wantgoo.com/stock/chart.aspx?stockno=1773","1773")</f>
        <v>1773</v>
      </c>
      <c r="B129" s="310"/>
      <c r="C129" s="311">
        <f>VLOOKUP(1773,季財報!A:H,3)</f>
        <v>1</v>
      </c>
      <c r="D129" s="311">
        <f>VLOOKUP(1773,季財報!A:H,4)</f>
        <v>1</v>
      </c>
      <c r="E129" s="311">
        <f>VLOOKUP(1773,季財報!A:H,5)</f>
        <v>2</v>
      </c>
      <c r="F129" s="311">
        <f>VLOOKUP(1773,季財報!A:H,6)</f>
        <v>1</v>
      </c>
      <c r="G129" s="311">
        <f>VLOOKUP(1773,季財報!A:H,7)</f>
        <v>0</v>
      </c>
      <c r="H129" s="312"/>
      <c r="I129" s="312"/>
      <c r="J129" s="312"/>
      <c r="K129" s="312"/>
      <c r="L129" s="312"/>
      <c r="M129" s="313"/>
      <c r="N129" s="312">
        <f t="shared" si="1"/>
        <v>5</v>
      </c>
      <c r="O129" s="314"/>
      <c r="P129" s="314"/>
      <c r="Q129" s="314"/>
      <c r="R129" s="314"/>
      <c r="S129" s="315"/>
    </row>
    <row r="130" spans="1:19">
      <c r="A130" s="308" t="str">
        <f>HYPERLINK("http://www.wantgoo.com/stock/chart.aspx?stockno=3563","3563")</f>
        <v>3563</v>
      </c>
      <c r="C130" s="18">
        <f>VLOOKUP(3563,季財報!A:H,3)</f>
        <v>1</v>
      </c>
      <c r="D130" s="18">
        <f>VLOOKUP(3563,季財報!A:H,4)</f>
        <v>1</v>
      </c>
      <c r="E130" s="18">
        <f>VLOOKUP(3563,季財報!A:H,5)</f>
        <v>0</v>
      </c>
      <c r="F130" s="18">
        <f>VLOOKUP(3563,季財報!A:H,6)</f>
        <v>0</v>
      </c>
      <c r="G130" s="18">
        <f>VLOOKUP(3563,季財報!A:H,7)</f>
        <v>0</v>
      </c>
      <c r="N130" s="20">
        <f t="shared" si="1"/>
        <v>2</v>
      </c>
    </row>
    <row r="131" spans="1:19">
      <c r="A131" s="308" t="str">
        <f>HYPERLINK("http://www.wantgoo.com/stock/chart.aspx?stockno=6104","6104")</f>
        <v>6104</v>
      </c>
      <c r="C131" s="18">
        <f>VLOOKUP(6104,季財報!A:H,3)</f>
        <v>0</v>
      </c>
      <c r="D131" s="18">
        <f>VLOOKUP(6104,季財報!A:H,4)</f>
        <v>1</v>
      </c>
      <c r="E131" s="18">
        <f>VLOOKUP(6104,季財報!A:H,5)</f>
        <v>0</v>
      </c>
      <c r="F131" s="18">
        <f>VLOOKUP(6104,季財報!A:H,6)</f>
        <v>1</v>
      </c>
      <c r="G131" s="18">
        <f>VLOOKUP(6104,季財報!A:H,7)</f>
        <v>0</v>
      </c>
      <c r="N131" s="20">
        <f t="shared" si="1"/>
        <v>2</v>
      </c>
    </row>
    <row r="132" spans="1:19">
      <c r="A132" s="308" t="str">
        <f>HYPERLINK("http://www.wantgoo.com/stock/chart.aspx?stockno=3541","3541")</f>
        <v>3541</v>
      </c>
      <c r="C132" s="18">
        <f>VLOOKUP(3541,季財報!A:H,3)</f>
        <v>0</v>
      </c>
      <c r="D132" s="18">
        <f>VLOOKUP(3541,季財報!A:H,4)</f>
        <v>1</v>
      </c>
      <c r="E132" s="18">
        <f>VLOOKUP(3541,季財報!A:H,5)</f>
        <v>1</v>
      </c>
      <c r="F132" s="18">
        <f>VLOOKUP(3541,季財報!A:H,6)</f>
        <v>1</v>
      </c>
      <c r="G132" s="18">
        <f>VLOOKUP(3541,季財報!A:H,7)</f>
        <v>0</v>
      </c>
      <c r="N132" s="20">
        <f t="shared" ref="N132:N195" si="2">SUM(C132:M132)</f>
        <v>3</v>
      </c>
    </row>
    <row r="133" spans="1:19">
      <c r="A133" s="307" t="str">
        <f>HYPERLINK("http://www.wantgoo.com/stock/chart.aspx?stockno=5519","5519")</f>
        <v>5519</v>
      </c>
      <c r="C133" s="18">
        <f>VLOOKUP(5519,季財報!A:H,3)</f>
        <v>0</v>
      </c>
      <c r="D133" s="18">
        <f>VLOOKUP(5519,季財報!A:H,4)</f>
        <v>1</v>
      </c>
      <c r="E133" s="18">
        <f>VLOOKUP(5519,季財報!A:H,5)</f>
        <v>0</v>
      </c>
      <c r="F133" s="18">
        <f>VLOOKUP(5519,季財報!A:H,6)</f>
        <v>1</v>
      </c>
      <c r="G133" s="18">
        <f>VLOOKUP(5519,季財報!A:H,7)</f>
        <v>0</v>
      </c>
      <c r="N133" s="20">
        <f t="shared" si="2"/>
        <v>2</v>
      </c>
    </row>
    <row r="134" spans="1:19">
      <c r="A134" s="308" t="str">
        <f>HYPERLINK("http://www.wantgoo.com/stock/chart.aspx?stockno=3008","3008")</f>
        <v>3008</v>
      </c>
      <c r="C134" s="18">
        <f>VLOOKUP(3008,季財報!A:H,3)</f>
        <v>1</v>
      </c>
      <c r="D134" s="18">
        <f>VLOOKUP(3008,季財報!A:H,4)</f>
        <v>1</v>
      </c>
      <c r="E134" s="18">
        <f>VLOOKUP(3008,季財報!A:H,5)</f>
        <v>0</v>
      </c>
      <c r="F134" s="18">
        <f>VLOOKUP(3008,季財報!A:H,6)</f>
        <v>1</v>
      </c>
      <c r="G134" s="18">
        <f>VLOOKUP(3008,季財報!A:H,7)</f>
        <v>0</v>
      </c>
      <c r="N134" s="20">
        <f t="shared" si="2"/>
        <v>3</v>
      </c>
    </row>
    <row r="135" spans="1:19">
      <c r="A135" s="307" t="str">
        <f>HYPERLINK("http://www.wantgoo.com/stock/chart.aspx?stockno=5215","5215")</f>
        <v>5215</v>
      </c>
      <c r="C135" s="18">
        <f>VLOOKUP(5215,季財報!A:H,3)</f>
        <v>0</v>
      </c>
      <c r="D135" s="18">
        <f>VLOOKUP(5215,季財報!A:H,4)</f>
        <v>1</v>
      </c>
      <c r="E135" s="18">
        <f>VLOOKUP(5215,季財報!A:H,5)</f>
        <v>2</v>
      </c>
      <c r="F135" s="18">
        <f>VLOOKUP(5215,季財報!A:H,6)</f>
        <v>1</v>
      </c>
      <c r="G135" s="18">
        <f>VLOOKUP(5215,季財報!A:H,7)</f>
        <v>0</v>
      </c>
      <c r="N135" s="20">
        <f t="shared" si="2"/>
        <v>4</v>
      </c>
    </row>
    <row r="136" spans="1:19">
      <c r="A136" s="307" t="str">
        <f>HYPERLINK("http://www.wantgoo.com/stock/chart.aspx?stockno=6143","6143")</f>
        <v>6143</v>
      </c>
      <c r="C136" s="18">
        <f>VLOOKUP(6143,季財報!A:H,3)</f>
        <v>1</v>
      </c>
      <c r="D136" s="18">
        <f>VLOOKUP(6143,季財報!A:H,4)</f>
        <v>1</v>
      </c>
      <c r="E136" s="18">
        <f>VLOOKUP(6143,季財報!A:H,5)</f>
        <v>2</v>
      </c>
      <c r="F136" s="18">
        <f>VLOOKUP(6143,季財報!A:H,6)</f>
        <v>1</v>
      </c>
      <c r="G136" s="18">
        <f>VLOOKUP(6143,季財報!A:H,7)</f>
        <v>0</v>
      </c>
      <c r="N136" s="20">
        <f t="shared" si="2"/>
        <v>5</v>
      </c>
    </row>
    <row r="137" spans="1:19">
      <c r="A137" s="307" t="str">
        <f>HYPERLINK("http://www.wantgoo.com/stock/chart.aspx?stockno=2904","2904")</f>
        <v>2904</v>
      </c>
      <c r="C137" s="18">
        <f>VLOOKUP(2904,季財報!A:H,3)</f>
        <v>0</v>
      </c>
      <c r="D137" s="18">
        <f>VLOOKUP(2904,季財報!A:H,4)</f>
        <v>1</v>
      </c>
      <c r="E137" s="18">
        <f>VLOOKUP(2904,季財報!A:H,5)</f>
        <v>1</v>
      </c>
      <c r="F137" s="18">
        <f>VLOOKUP(2904,季財報!A:H,6)</f>
        <v>1</v>
      </c>
      <c r="G137" s="18">
        <f>VLOOKUP(2904,季財報!A:H,7)</f>
        <v>0</v>
      </c>
      <c r="N137" s="20">
        <f t="shared" si="2"/>
        <v>3</v>
      </c>
    </row>
    <row r="138" spans="1:19">
      <c r="A138" s="308" t="str">
        <f>HYPERLINK("http://www.wantgoo.com/stock/chart.aspx?stockno=1708","1708")</f>
        <v>1708</v>
      </c>
      <c r="C138" s="18">
        <f>VLOOKUP(1708,季財報!A:H,3)</f>
        <v>1</v>
      </c>
      <c r="D138" s="18">
        <f>VLOOKUP(1708,季財報!A:H,4)</f>
        <v>1</v>
      </c>
      <c r="E138" s="18">
        <f>VLOOKUP(1708,季財報!A:H,5)</f>
        <v>1</v>
      </c>
      <c r="F138" s="18">
        <f>VLOOKUP(1708,季財報!A:H,6)</f>
        <v>1</v>
      </c>
      <c r="G138" s="18">
        <f>VLOOKUP(1708,季財報!A:H,7)</f>
        <v>0</v>
      </c>
      <c r="N138" s="20">
        <f t="shared" si="2"/>
        <v>4</v>
      </c>
    </row>
    <row r="139" spans="1:19">
      <c r="A139" s="308" t="str">
        <f>HYPERLINK("http://www.wantgoo.com/stock/chart.aspx?stockno=6451","6451")</f>
        <v>6451</v>
      </c>
      <c r="C139" s="18">
        <f>VLOOKUP(6451,季財報!A:H,3)</f>
        <v>0</v>
      </c>
      <c r="D139" s="18">
        <f>VLOOKUP(6451,季財報!A:H,4)</f>
        <v>1</v>
      </c>
      <c r="E139" s="18">
        <f>VLOOKUP(6451,季財報!A:H,5)</f>
        <v>0</v>
      </c>
      <c r="F139" s="18">
        <f>VLOOKUP(6451,季財報!A:H,6)</f>
        <v>0</v>
      </c>
      <c r="G139" s="18">
        <f>VLOOKUP(6451,季財報!A:H,7)</f>
        <v>0</v>
      </c>
      <c r="N139" s="20">
        <f t="shared" si="2"/>
        <v>1</v>
      </c>
    </row>
    <row r="140" spans="1:19">
      <c r="A140" s="307" t="str">
        <f>HYPERLINK("http://www.wantgoo.com/stock/chart.aspx?stockno=2497","2497")</f>
        <v>2497</v>
      </c>
      <c r="C140" s="18">
        <f>VLOOKUP(2497,季財報!A:H,3)</f>
        <v>0</v>
      </c>
      <c r="D140" s="18">
        <f>VLOOKUP(2497,季財報!A:H,4)</f>
        <v>1</v>
      </c>
      <c r="E140" s="18">
        <f>VLOOKUP(2497,季財報!A:H,5)</f>
        <v>0</v>
      </c>
      <c r="F140" s="18">
        <f>VLOOKUP(2497,季財報!A:H,6)</f>
        <v>0</v>
      </c>
      <c r="G140" s="18">
        <f>VLOOKUP(2497,季財報!A:H,7)</f>
        <v>0</v>
      </c>
      <c r="N140" s="20">
        <f t="shared" si="2"/>
        <v>1</v>
      </c>
    </row>
    <row r="141" spans="1:19">
      <c r="A141" s="308" t="str">
        <f>HYPERLINK("http://www.wantgoo.com/stock/chart.aspx?stockno=5264","5264")</f>
        <v>5264</v>
      </c>
      <c r="C141" s="18">
        <f>VLOOKUP(5264,季財報!A:H,3)</f>
        <v>1</v>
      </c>
      <c r="D141" s="18">
        <f>VLOOKUP(5264,季財報!A:H,4)</f>
        <v>1</v>
      </c>
      <c r="E141" s="18">
        <f>VLOOKUP(5264,季財報!A:H,5)</f>
        <v>0</v>
      </c>
      <c r="F141" s="18">
        <f>VLOOKUP(5264,季財報!A:H,6)</f>
        <v>1</v>
      </c>
      <c r="G141" s="18">
        <f>VLOOKUP(5264,季財報!A:H,7)</f>
        <v>0</v>
      </c>
      <c r="N141" s="20">
        <f t="shared" si="2"/>
        <v>3</v>
      </c>
    </row>
    <row r="142" spans="1:19">
      <c r="A142" s="307" t="str">
        <f>HYPERLINK("http://www.wantgoo.com/stock/chart.aspx?stockno=3528","3528")</f>
        <v>3528</v>
      </c>
      <c r="C142" s="18">
        <f>VLOOKUP(3528,季財報!A:H,3)</f>
        <v>0</v>
      </c>
      <c r="D142" s="18">
        <f>VLOOKUP(3528,季財報!A:H,4)</f>
        <v>1</v>
      </c>
      <c r="E142" s="18">
        <f>VLOOKUP(3528,季財報!A:H,5)</f>
        <v>0</v>
      </c>
      <c r="F142" s="18">
        <f>VLOOKUP(3528,季財報!A:H,6)</f>
        <v>0</v>
      </c>
      <c r="G142" s="18">
        <f>VLOOKUP(3528,季財報!A:H,7)</f>
        <v>0</v>
      </c>
      <c r="N142" s="20">
        <f t="shared" si="2"/>
        <v>1</v>
      </c>
    </row>
    <row r="143" spans="1:19">
      <c r="A143" s="307" t="str">
        <f>HYPERLINK("http://www.wantgoo.com/stock/chart.aspx?stockno=3450","3450")</f>
        <v>3450</v>
      </c>
      <c r="C143" s="18">
        <f>VLOOKUP(3450,季財報!A:H,3)</f>
        <v>1</v>
      </c>
      <c r="D143" s="18">
        <f>VLOOKUP(3450,季財報!A:H,4)</f>
        <v>1</v>
      </c>
      <c r="E143" s="18">
        <f>VLOOKUP(3450,季財報!A:H,5)</f>
        <v>0</v>
      </c>
      <c r="F143" s="18">
        <f>VLOOKUP(3450,季財報!A:H,6)</f>
        <v>1</v>
      </c>
      <c r="G143" s="18">
        <f>VLOOKUP(3450,季財報!A:H,7)</f>
        <v>0</v>
      </c>
      <c r="N143" s="20">
        <f t="shared" si="2"/>
        <v>3</v>
      </c>
    </row>
    <row r="144" spans="1:19">
      <c r="A144" s="307" t="str">
        <f>HYPERLINK("http://www.wantgoo.com/stock/chart.aspx?stockno=4930","4930")</f>
        <v>4930</v>
      </c>
      <c r="C144" s="18">
        <f>VLOOKUP(4930,季財報!A:H,3)</f>
        <v>0</v>
      </c>
      <c r="D144" s="18">
        <f>VLOOKUP(4930,季財報!A:H,4)</f>
        <v>1</v>
      </c>
      <c r="E144" s="18">
        <f>VLOOKUP(4930,季財報!A:H,5)</f>
        <v>1</v>
      </c>
      <c r="F144" s="18">
        <f>VLOOKUP(4930,季財報!A:H,6)</f>
        <v>0</v>
      </c>
      <c r="G144" s="18">
        <f>VLOOKUP(4930,季財報!A:H,7)</f>
        <v>1</v>
      </c>
      <c r="N144" s="20">
        <f t="shared" si="2"/>
        <v>3</v>
      </c>
    </row>
    <row r="145" spans="1:14">
      <c r="A145" s="307" t="str">
        <f>HYPERLINK("http://www.wantgoo.com/stock/chart.aspx?stockno=3498","3498")</f>
        <v>3498</v>
      </c>
      <c r="C145" s="18">
        <f>VLOOKUP(3498,季財報!A:H,3)</f>
        <v>1</v>
      </c>
      <c r="D145" s="18">
        <f>VLOOKUP(3498,季財報!A:H,4)</f>
        <v>1</v>
      </c>
      <c r="E145" s="18">
        <f>VLOOKUP(3498,季財報!A:H,5)</f>
        <v>1</v>
      </c>
      <c r="F145" s="18">
        <f>VLOOKUP(3498,季財報!A:H,6)</f>
        <v>1</v>
      </c>
      <c r="G145" s="18">
        <f>VLOOKUP(3498,季財報!A:H,7)</f>
        <v>0</v>
      </c>
      <c r="N145" s="20">
        <f t="shared" si="2"/>
        <v>4</v>
      </c>
    </row>
    <row r="146" spans="1:14">
      <c r="A146" s="308" t="str">
        <f>HYPERLINK("http://www.wantgoo.com/stock/chart.aspx?stockno=2107","2107")</f>
        <v>2107</v>
      </c>
      <c r="C146" s="18">
        <f>VLOOKUP(2107,季財報!A:H,3)</f>
        <v>0</v>
      </c>
      <c r="D146" s="18">
        <f>VLOOKUP(2107,季財報!A:H,4)</f>
        <v>1</v>
      </c>
      <c r="E146" s="18">
        <f>VLOOKUP(2107,季財報!A:H,5)</f>
        <v>0</v>
      </c>
      <c r="F146" s="18">
        <f>VLOOKUP(2107,季財報!A:H,6)</f>
        <v>1</v>
      </c>
      <c r="G146" s="18">
        <f>VLOOKUP(2107,季財報!A:H,7)</f>
        <v>0</v>
      </c>
      <c r="N146" s="20">
        <f t="shared" si="2"/>
        <v>2</v>
      </c>
    </row>
    <row r="147" spans="1:14">
      <c r="A147" s="307" t="str">
        <f>HYPERLINK("http://www.wantgoo.com/stock/chart.aspx?stockno=3078","3078")</f>
        <v>3078</v>
      </c>
      <c r="C147" s="18">
        <f>VLOOKUP(3078,季財報!A:H,3)</f>
        <v>1</v>
      </c>
      <c r="D147" s="18">
        <f>VLOOKUP(3078,季財報!A:H,4)</f>
        <v>1</v>
      </c>
      <c r="E147" s="18">
        <f>VLOOKUP(3078,季財報!A:H,5)</f>
        <v>2</v>
      </c>
      <c r="F147" s="18">
        <f>VLOOKUP(3078,季財報!A:H,6)</f>
        <v>0</v>
      </c>
      <c r="G147" s="18">
        <f>VLOOKUP(3078,季財報!A:H,7)</f>
        <v>0</v>
      </c>
      <c r="N147" s="20">
        <f t="shared" si="2"/>
        <v>4</v>
      </c>
    </row>
    <row r="148" spans="1:14">
      <c r="A148" s="307" t="str">
        <f>HYPERLINK("http://www.wantgoo.com/stock/chart.aspx?stockno=3356","3356")</f>
        <v>3356</v>
      </c>
      <c r="C148" s="18">
        <f>VLOOKUP(3356,季財報!A:H,3)</f>
        <v>0</v>
      </c>
      <c r="D148" s="18">
        <f>VLOOKUP(3356,季財報!A:H,4)</f>
        <v>1</v>
      </c>
      <c r="E148" s="18">
        <f>VLOOKUP(3356,季財報!A:H,5)</f>
        <v>2</v>
      </c>
      <c r="F148" s="18">
        <f>VLOOKUP(3356,季財報!A:H,6)</f>
        <v>1</v>
      </c>
      <c r="G148" s="18">
        <f>VLOOKUP(3356,季財報!A:H,7)</f>
        <v>0</v>
      </c>
      <c r="N148" s="20">
        <f t="shared" si="2"/>
        <v>4</v>
      </c>
    </row>
    <row r="149" spans="1:14">
      <c r="A149" s="308" t="str">
        <f>HYPERLINK("http://www.wantgoo.com/stock/chart.aspx?stockno=3623","3623")</f>
        <v>3623</v>
      </c>
      <c r="C149" s="18">
        <f>VLOOKUP(3623,季財報!A:H,3)</f>
        <v>0</v>
      </c>
      <c r="D149" s="18">
        <f>VLOOKUP(3623,季財報!A:H,4)</f>
        <v>1</v>
      </c>
      <c r="E149" s="18">
        <f>VLOOKUP(3623,季財報!A:H,5)</f>
        <v>1</v>
      </c>
      <c r="F149" s="18">
        <f>VLOOKUP(3623,季財報!A:H,6)</f>
        <v>1</v>
      </c>
      <c r="G149" s="18">
        <f>VLOOKUP(3623,季財報!A:H,7)</f>
        <v>0</v>
      </c>
      <c r="N149" s="20">
        <f t="shared" si="2"/>
        <v>3</v>
      </c>
    </row>
    <row r="150" spans="1:14">
      <c r="A150" s="308" t="str">
        <f>HYPERLINK("http://www.wantgoo.com/stock/chart.aspx?stockno=5489","5489")</f>
        <v>5489</v>
      </c>
      <c r="C150" s="18">
        <f>VLOOKUP(5489,季財報!A:H,3)</f>
        <v>0</v>
      </c>
      <c r="D150" s="18">
        <f>VLOOKUP(5489,季財報!A:H,4)</f>
        <v>1</v>
      </c>
      <c r="E150" s="18">
        <f>VLOOKUP(5489,季財報!A:H,5)</f>
        <v>0</v>
      </c>
      <c r="F150" s="18">
        <f>VLOOKUP(5489,季財報!A:H,6)</f>
        <v>1</v>
      </c>
      <c r="G150" s="18">
        <f>VLOOKUP(5489,季財報!A:H,7)</f>
        <v>0</v>
      </c>
      <c r="N150" s="20">
        <f t="shared" si="2"/>
        <v>2</v>
      </c>
    </row>
    <row r="151" spans="1:14">
      <c r="A151" s="307" t="str">
        <f>HYPERLINK("http://www.wantgoo.com/stock/chart.aspx?stockno=3038","3038")</f>
        <v>3038</v>
      </c>
      <c r="C151" s="18">
        <f>VLOOKUP(3038,季財報!A:H,3)</f>
        <v>1</v>
      </c>
      <c r="D151" s="18">
        <f>VLOOKUP(3038,季財報!A:H,4)</f>
        <v>1</v>
      </c>
      <c r="E151" s="18">
        <f>VLOOKUP(3038,季財報!A:H,5)</f>
        <v>0</v>
      </c>
      <c r="F151" s="18">
        <f>VLOOKUP(3038,季財報!A:H,6)</f>
        <v>1</v>
      </c>
      <c r="G151" s="18">
        <f>VLOOKUP(3038,季財報!A:H,7)</f>
        <v>0</v>
      </c>
      <c r="N151" s="20">
        <f t="shared" si="2"/>
        <v>3</v>
      </c>
    </row>
    <row r="152" spans="1:14">
      <c r="A152" s="307" t="str">
        <f>HYPERLINK("http://www.wantgoo.com/stock/chart.aspx?stockno=8048","8048")</f>
        <v>8048</v>
      </c>
      <c r="C152" s="18">
        <f>VLOOKUP(8048,季財報!A:H,3)</f>
        <v>1</v>
      </c>
      <c r="D152" s="18">
        <f>VLOOKUP(8048,季財報!A:H,4)</f>
        <v>1</v>
      </c>
      <c r="E152" s="18">
        <f>VLOOKUP(8048,季財報!A:H,5)</f>
        <v>2</v>
      </c>
      <c r="F152" s="18">
        <f>VLOOKUP(8048,季財報!A:H,6)</f>
        <v>1</v>
      </c>
      <c r="G152" s="18">
        <f>VLOOKUP(8048,季財報!A:H,7)</f>
        <v>0</v>
      </c>
      <c r="N152" s="20">
        <f t="shared" si="2"/>
        <v>5</v>
      </c>
    </row>
    <row r="153" spans="1:14">
      <c r="A153" s="307" t="str">
        <f>HYPERLINK("http://www.wantgoo.com/stock/chart.aspx?stockno=3090","3090")</f>
        <v>3090</v>
      </c>
      <c r="C153" s="18">
        <f>VLOOKUP(3090,季財報!A:H,3)</f>
        <v>0</v>
      </c>
      <c r="D153" s="18">
        <f>VLOOKUP(3090,季財報!A:H,4)</f>
        <v>1</v>
      </c>
      <c r="E153" s="18">
        <f>VLOOKUP(3090,季財報!A:H,5)</f>
        <v>0</v>
      </c>
      <c r="F153" s="18">
        <f>VLOOKUP(3090,季財報!A:H,6)</f>
        <v>1</v>
      </c>
      <c r="G153" s="18">
        <f>VLOOKUP(3090,季財報!A:H,7)</f>
        <v>0</v>
      </c>
      <c r="N153" s="20">
        <f t="shared" si="2"/>
        <v>2</v>
      </c>
    </row>
    <row r="154" spans="1:14">
      <c r="A154" s="308" t="str">
        <f>HYPERLINK("http://www.wantgoo.com/stock/chart.aspx?stockno=3005","3005")</f>
        <v>3005</v>
      </c>
      <c r="C154" s="18">
        <f>VLOOKUP(3005,季財報!A:H,3)</f>
        <v>0</v>
      </c>
      <c r="D154" s="18">
        <f>VLOOKUP(3005,季財報!A:H,4)</f>
        <v>1</v>
      </c>
      <c r="E154" s="18">
        <f>VLOOKUP(3005,季財報!A:H,5)</f>
        <v>0</v>
      </c>
      <c r="F154" s="18">
        <f>VLOOKUP(3005,季財報!A:H,6)</f>
        <v>1</v>
      </c>
      <c r="G154" s="18">
        <f>VLOOKUP(3005,季財報!A:H,7)</f>
        <v>0</v>
      </c>
      <c r="N154" s="20">
        <f t="shared" si="2"/>
        <v>2</v>
      </c>
    </row>
    <row r="155" spans="1:14">
      <c r="A155" s="308" t="str">
        <f>HYPERLINK("http://www.wantgoo.com/stock/chart.aspx?stockno=4506","4506")</f>
        <v>4506</v>
      </c>
      <c r="C155" s="18">
        <f>VLOOKUP(4506,季財報!A:H,3)</f>
        <v>1</v>
      </c>
      <c r="D155" s="18">
        <f>VLOOKUP(4506,季財報!A:H,4)</f>
        <v>1</v>
      </c>
      <c r="E155" s="18">
        <f>VLOOKUP(4506,季財報!A:H,5)</f>
        <v>2</v>
      </c>
      <c r="F155" s="18">
        <f>VLOOKUP(4506,季財報!A:H,6)</f>
        <v>1</v>
      </c>
      <c r="G155" s="18">
        <f>VLOOKUP(4506,季財報!A:H,7)</f>
        <v>1</v>
      </c>
      <c r="N155" s="20">
        <f t="shared" si="2"/>
        <v>6</v>
      </c>
    </row>
    <row r="156" spans="1:14">
      <c r="A156" s="307" t="str">
        <f>HYPERLINK("http://www.wantgoo.com/stock/chart.aspx?stockno=1323","1323")</f>
        <v>1323</v>
      </c>
      <c r="C156" s="18">
        <f>VLOOKUP(1323,季財報!A:H,3)</f>
        <v>0</v>
      </c>
      <c r="D156" s="18">
        <f>VLOOKUP(1323,季財報!A:H,4)</f>
        <v>1</v>
      </c>
      <c r="E156" s="18">
        <f>VLOOKUP(1323,季財報!A:H,5)</f>
        <v>0</v>
      </c>
      <c r="F156" s="18">
        <f>VLOOKUP(1323,季財報!A:H,6)</f>
        <v>1</v>
      </c>
      <c r="G156" s="18">
        <f>VLOOKUP(1323,季財報!A:H,7)</f>
        <v>0</v>
      </c>
      <c r="N156" s="20">
        <f t="shared" si="2"/>
        <v>2</v>
      </c>
    </row>
    <row r="157" spans="1:14">
      <c r="A157" s="308" t="str">
        <f>HYPERLINK("http://www.wantgoo.com/stock/chart.aspx?stockno=2302","2302")</f>
        <v>2302</v>
      </c>
      <c r="C157" s="18">
        <f>VLOOKUP(2302,季財報!A:H,3)</f>
        <v>0</v>
      </c>
      <c r="D157" s="18">
        <f>VLOOKUP(2302,季財報!A:H,4)</f>
        <v>1</v>
      </c>
      <c r="E157" s="18">
        <f>VLOOKUP(2302,季財報!A:H,5)</f>
        <v>0</v>
      </c>
      <c r="F157" s="18">
        <f>VLOOKUP(2302,季財報!A:H,6)</f>
        <v>1</v>
      </c>
      <c r="G157" s="18">
        <f>VLOOKUP(2302,季財報!A:H,7)</f>
        <v>0</v>
      </c>
      <c r="N157" s="20">
        <f t="shared" si="2"/>
        <v>2</v>
      </c>
    </row>
    <row r="158" spans="1:14">
      <c r="A158" s="307" t="str">
        <f>HYPERLINK("http://www.wantgoo.com/stock/chart.aspx?stockno=8271","8271")</f>
        <v>8271</v>
      </c>
      <c r="C158" s="18">
        <f>VLOOKUP(8271,季財報!A:H,3)</f>
        <v>0</v>
      </c>
      <c r="D158" s="18">
        <f>VLOOKUP(8271,季財報!A:H,4)</f>
        <v>0</v>
      </c>
      <c r="E158" s="18">
        <f>VLOOKUP(8271,季財報!A:H,5)</f>
        <v>1</v>
      </c>
      <c r="F158" s="18">
        <f>VLOOKUP(8271,季財報!A:H,6)</f>
        <v>1</v>
      </c>
      <c r="G158" s="18">
        <f>VLOOKUP(8271,季財報!A:H,7)</f>
        <v>0</v>
      </c>
      <c r="N158" s="20">
        <f t="shared" si="2"/>
        <v>2</v>
      </c>
    </row>
    <row r="159" spans="1:14">
      <c r="A159" s="308" t="str">
        <f>HYPERLINK("http://www.wantgoo.com/stock/chart.aspx?stockno=6274","6274")</f>
        <v>6274</v>
      </c>
      <c r="C159" s="18">
        <f>VLOOKUP(6274,季財報!A:H,3)</f>
        <v>1</v>
      </c>
      <c r="D159" s="18">
        <f>VLOOKUP(6274,季財報!A:H,4)</f>
        <v>1</v>
      </c>
      <c r="E159" s="18">
        <f>VLOOKUP(6274,季財報!A:H,5)</f>
        <v>0</v>
      </c>
      <c r="F159" s="18">
        <f>VLOOKUP(6274,季財報!A:H,6)</f>
        <v>1</v>
      </c>
      <c r="G159" s="18">
        <f>VLOOKUP(6274,季財報!A:H,7)</f>
        <v>0</v>
      </c>
      <c r="N159" s="20">
        <f t="shared" si="2"/>
        <v>3</v>
      </c>
    </row>
    <row r="160" spans="1:14">
      <c r="A160" s="307" t="str">
        <f>HYPERLINK("http://www.wantgoo.com/stock/chart.aspx?stockno=9911","9911")</f>
        <v>9911</v>
      </c>
      <c r="C160" s="18">
        <f>VLOOKUP(9911,季財報!A:H,3)</f>
        <v>0</v>
      </c>
      <c r="D160" s="18">
        <f>VLOOKUP(9911,季財報!A:H,4)</f>
        <v>1</v>
      </c>
      <c r="E160" s="18">
        <f>VLOOKUP(9911,季財報!A:H,5)</f>
        <v>0</v>
      </c>
      <c r="F160" s="18">
        <f>VLOOKUP(9911,季財報!A:H,6)</f>
        <v>1</v>
      </c>
      <c r="G160" s="18">
        <f>VLOOKUP(9911,季財報!A:H,7)</f>
        <v>0</v>
      </c>
      <c r="N160" s="20">
        <f t="shared" si="2"/>
        <v>2</v>
      </c>
    </row>
    <row r="161" spans="1:14">
      <c r="A161" s="308" t="str">
        <f>HYPERLINK("http://www.wantgoo.com/stock/chart.aspx?stockno=6298","6298")</f>
        <v>6298</v>
      </c>
      <c r="C161" s="18">
        <f>VLOOKUP(6298,季財報!A:H,3)</f>
        <v>0</v>
      </c>
      <c r="D161" s="18">
        <f>VLOOKUP(6298,季財報!A:H,4)</f>
        <v>1</v>
      </c>
      <c r="E161" s="18">
        <f>VLOOKUP(6298,季財報!A:H,5)</f>
        <v>1</v>
      </c>
      <c r="F161" s="18">
        <f>VLOOKUP(6298,季財報!A:H,6)</f>
        <v>1</v>
      </c>
      <c r="G161" s="18">
        <f>VLOOKUP(6298,季財報!A:H,7)</f>
        <v>0</v>
      </c>
      <c r="N161" s="20">
        <f t="shared" si="2"/>
        <v>3</v>
      </c>
    </row>
    <row r="162" spans="1:14">
      <c r="A162" s="307" t="str">
        <f>HYPERLINK("http://www.wantgoo.com/stock/chart.aspx?stockno=6192","6192")</f>
        <v>6192</v>
      </c>
      <c r="C162" s="18">
        <f>VLOOKUP(6192,季財報!A:H,3)</f>
        <v>0</v>
      </c>
      <c r="D162" s="18">
        <f>VLOOKUP(6192,季財報!A:H,4)</f>
        <v>1</v>
      </c>
      <c r="E162" s="18">
        <f>VLOOKUP(6192,季財報!A:H,5)</f>
        <v>1</v>
      </c>
      <c r="F162" s="18">
        <f>VLOOKUP(6192,季財報!A:H,6)</f>
        <v>1</v>
      </c>
      <c r="G162" s="18">
        <f>VLOOKUP(6192,季財報!A:H,7)</f>
        <v>0</v>
      </c>
      <c r="N162" s="20">
        <f t="shared" si="2"/>
        <v>3</v>
      </c>
    </row>
    <row r="163" spans="1:14">
      <c r="A163" s="307" t="str">
        <f>HYPERLINK("http://www.wantgoo.com/stock/chart.aspx?stockno=3684","3684")</f>
        <v>3684</v>
      </c>
      <c r="C163" s="18">
        <f>VLOOKUP(3684,季財報!A:H,3)</f>
        <v>1</v>
      </c>
      <c r="D163" s="18">
        <f>VLOOKUP(3684,季財報!A:H,4)</f>
        <v>1</v>
      </c>
      <c r="E163" s="18">
        <f>VLOOKUP(3684,季財報!A:H,5)</f>
        <v>0</v>
      </c>
      <c r="F163" s="18">
        <f>VLOOKUP(3684,季財報!A:H,6)</f>
        <v>1</v>
      </c>
      <c r="G163" s="18">
        <f>VLOOKUP(3684,季財報!A:H,7)</f>
        <v>0</v>
      </c>
      <c r="N163" s="20">
        <f t="shared" si="2"/>
        <v>3</v>
      </c>
    </row>
    <row r="164" spans="1:14">
      <c r="A164" s="307" t="str">
        <f>HYPERLINK("http://www.wantgoo.com/stock/chart.aspx?stockno=2317","2317")</f>
        <v>2317</v>
      </c>
      <c r="C164" s="18">
        <f>VLOOKUP(2317,季財報!A:H,3)</f>
        <v>0</v>
      </c>
      <c r="D164" s="18">
        <f>VLOOKUP(2317,季財報!A:H,4)</f>
        <v>1</v>
      </c>
      <c r="E164" s="18">
        <f>VLOOKUP(2317,季財報!A:H,5)</f>
        <v>0</v>
      </c>
      <c r="F164" s="18">
        <f>VLOOKUP(2317,季財報!A:H,6)</f>
        <v>0</v>
      </c>
      <c r="G164" s="18">
        <f>VLOOKUP(2317,季財報!A:H,7)</f>
        <v>0</v>
      </c>
      <c r="N164" s="20">
        <f t="shared" si="2"/>
        <v>1</v>
      </c>
    </row>
    <row r="165" spans="1:14">
      <c r="A165" s="307" t="str">
        <f>HYPERLINK("http://www.wantgoo.com/stock/chart.aspx?stockno=6206","6206")</f>
        <v>6206</v>
      </c>
      <c r="C165" s="18">
        <f>VLOOKUP(6206,季財報!A:H,3)</f>
        <v>0</v>
      </c>
      <c r="D165" s="18">
        <f>VLOOKUP(6206,季財報!A:H,4)</f>
        <v>1</v>
      </c>
      <c r="E165" s="18">
        <f>VLOOKUP(6206,季財報!A:H,5)</f>
        <v>0</v>
      </c>
      <c r="F165" s="18">
        <f>VLOOKUP(6206,季財報!A:H,6)</f>
        <v>1</v>
      </c>
      <c r="G165" s="18">
        <f>VLOOKUP(6206,季財報!A:H,7)</f>
        <v>0</v>
      </c>
      <c r="N165" s="20">
        <f t="shared" si="2"/>
        <v>2</v>
      </c>
    </row>
    <row r="166" spans="1:14">
      <c r="A166" s="307" t="str">
        <f>HYPERLINK("http://www.wantgoo.com/stock/chart.aspx?stockno=8050","8050")</f>
        <v>8050</v>
      </c>
      <c r="C166" s="18">
        <f>VLOOKUP(8050,季財報!A:H,3)</f>
        <v>0</v>
      </c>
      <c r="D166" s="18">
        <f>VLOOKUP(8050,季財報!A:H,4)</f>
        <v>1</v>
      </c>
      <c r="E166" s="18">
        <f>VLOOKUP(8050,季財報!A:H,5)</f>
        <v>0</v>
      </c>
      <c r="F166" s="18">
        <f>VLOOKUP(8050,季財報!A:H,6)</f>
        <v>1</v>
      </c>
      <c r="G166" s="18">
        <f>VLOOKUP(8050,季財報!A:H,7)</f>
        <v>0</v>
      </c>
      <c r="N166" s="20">
        <f t="shared" si="2"/>
        <v>2</v>
      </c>
    </row>
    <row r="167" spans="1:14">
      <c r="A167" s="307" t="str">
        <f>HYPERLINK("http://www.wantgoo.com/stock/chart.aspx?stockno=8150","8150")</f>
        <v>8150</v>
      </c>
      <c r="C167" s="18">
        <f>VLOOKUP(8150,季財報!A:H,3)</f>
        <v>0</v>
      </c>
      <c r="D167" s="18">
        <f>VLOOKUP(8150,季財報!A:H,4)</f>
        <v>1</v>
      </c>
      <c r="E167" s="18">
        <f>VLOOKUP(8150,季財報!A:H,5)</f>
        <v>0</v>
      </c>
      <c r="F167" s="18">
        <f>VLOOKUP(8150,季財報!A:H,6)</f>
        <v>1</v>
      </c>
      <c r="G167" s="18">
        <f>VLOOKUP(8150,季財報!A:H,7)</f>
        <v>0</v>
      </c>
      <c r="N167" s="20">
        <f t="shared" si="2"/>
        <v>2</v>
      </c>
    </row>
    <row r="168" spans="1:14">
      <c r="A168" s="308" t="str">
        <f>HYPERLINK("http://www.wantgoo.com/stock/chart.aspx?stockno=6189","6189")</f>
        <v>6189</v>
      </c>
      <c r="C168" s="18">
        <f>VLOOKUP(6189,季財報!A:H,3)</f>
        <v>1</v>
      </c>
      <c r="D168" s="18">
        <f>VLOOKUP(6189,季財報!A:H,4)</f>
        <v>1</v>
      </c>
      <c r="E168" s="18">
        <f>VLOOKUP(6189,季財報!A:H,5)</f>
        <v>1</v>
      </c>
      <c r="F168" s="18">
        <f>VLOOKUP(6189,季財報!A:H,6)</f>
        <v>1</v>
      </c>
      <c r="G168" s="18">
        <f>VLOOKUP(6189,季財報!A:H,7)</f>
        <v>0</v>
      </c>
      <c r="N168" s="20">
        <f t="shared" si="2"/>
        <v>4</v>
      </c>
    </row>
    <row r="169" spans="1:14">
      <c r="A169" s="307" t="str">
        <f>HYPERLINK("http://www.wantgoo.com/stock/chart.aspx?stockno=1264","1264")</f>
        <v>1264</v>
      </c>
      <c r="C169" s="18">
        <f>VLOOKUP(1264,季財報!A:H,3)</f>
        <v>0</v>
      </c>
      <c r="D169" s="18">
        <f>VLOOKUP(1264,季財報!A:H,4)</f>
        <v>1</v>
      </c>
      <c r="E169" s="18">
        <f>VLOOKUP(1264,季財報!A:H,5)</f>
        <v>0</v>
      </c>
      <c r="F169" s="18">
        <f>VLOOKUP(1264,季財報!A:H,6)</f>
        <v>1</v>
      </c>
      <c r="G169" s="18">
        <f>VLOOKUP(1264,季財報!A:H,7)</f>
        <v>0</v>
      </c>
      <c r="N169" s="20">
        <f t="shared" si="2"/>
        <v>2</v>
      </c>
    </row>
    <row r="170" spans="1:14">
      <c r="A170" s="307" t="str">
        <f>HYPERLINK("http://www.wantgoo.com/stock/chart.aspx?stockno=3060","3060")</f>
        <v>3060</v>
      </c>
      <c r="C170" s="18">
        <f>VLOOKUP(3060,季財報!A:H,3)</f>
        <v>1</v>
      </c>
      <c r="D170" s="18">
        <f>VLOOKUP(3060,季財報!A:H,4)</f>
        <v>1</v>
      </c>
      <c r="E170" s="18">
        <f>VLOOKUP(3060,季財報!A:H,5)</f>
        <v>0</v>
      </c>
      <c r="F170" s="18">
        <f>VLOOKUP(3060,季財報!A:H,6)</f>
        <v>1</v>
      </c>
      <c r="G170" s="18">
        <f>VLOOKUP(3060,季財報!A:H,7)</f>
        <v>0</v>
      </c>
      <c r="N170" s="20">
        <f t="shared" si="2"/>
        <v>3</v>
      </c>
    </row>
    <row r="171" spans="1:14">
      <c r="A171" s="308" t="str">
        <f>HYPERLINK("http://www.wantgoo.com/stock/chart.aspx?stockno=2426","2426")</f>
        <v>2426</v>
      </c>
      <c r="C171" s="18">
        <f>VLOOKUP(2426,季財報!A:H,3)</f>
        <v>0</v>
      </c>
      <c r="D171" s="18">
        <f>VLOOKUP(2426,季財報!A:H,4)</f>
        <v>1</v>
      </c>
      <c r="E171" s="18">
        <f>VLOOKUP(2426,季財報!A:H,5)</f>
        <v>0</v>
      </c>
      <c r="F171" s="18">
        <f>VLOOKUP(2426,季財報!A:H,6)</f>
        <v>1</v>
      </c>
      <c r="G171" s="18">
        <f>VLOOKUP(2426,季財報!A:H,7)</f>
        <v>0</v>
      </c>
      <c r="N171" s="20">
        <f t="shared" si="2"/>
        <v>2</v>
      </c>
    </row>
    <row r="172" spans="1:14">
      <c r="A172" s="307" t="str">
        <f>HYPERLINK("http://www.wantgoo.com/stock/chart.aspx?stockno=4991","4991")</f>
        <v>4991</v>
      </c>
      <c r="C172" s="18">
        <f>VLOOKUP(4991,季財報!A:H,3)</f>
        <v>1</v>
      </c>
      <c r="D172" s="18">
        <f>VLOOKUP(4991,季財報!A:H,4)</f>
        <v>1</v>
      </c>
      <c r="E172" s="18">
        <f>VLOOKUP(4991,季財報!A:H,5)</f>
        <v>0</v>
      </c>
      <c r="F172" s="18">
        <f>VLOOKUP(4991,季財報!A:H,6)</f>
        <v>1</v>
      </c>
      <c r="G172" s="18">
        <f>VLOOKUP(4991,季財報!A:H,7)</f>
        <v>1</v>
      </c>
      <c r="N172" s="20">
        <f t="shared" si="2"/>
        <v>4</v>
      </c>
    </row>
    <row r="173" spans="1:14">
      <c r="A173" s="308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 t="shared" si="2"/>
        <v>0</v>
      </c>
    </row>
    <row r="174" spans="1:14">
      <c r="A174" s="308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 t="shared" si="2"/>
        <v>3</v>
      </c>
    </row>
    <row r="175" spans="1:14">
      <c r="A175" s="308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 t="shared" si="2"/>
        <v>3</v>
      </c>
    </row>
    <row r="176" spans="1:14">
      <c r="A176" s="308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 t="shared" si="2"/>
        <v>1</v>
      </c>
    </row>
    <row r="177" spans="1:14">
      <c r="A177" s="308" t="str">
        <f>HYPERLINK("http://www.wantgoo.com/stock/chart.aspx?stockno=8299","8299")</f>
        <v>8299</v>
      </c>
      <c r="C177" s="18">
        <f>VLOOKUP(8299,季財報!A:H,3)</f>
        <v>1</v>
      </c>
      <c r="D177" s="18">
        <f>VLOOKUP(8299,季財報!A:H,4)</f>
        <v>1</v>
      </c>
      <c r="E177" s="18">
        <f>VLOOKUP(8299,季財報!A:H,5)</f>
        <v>1</v>
      </c>
      <c r="F177" s="18">
        <f>VLOOKUP(8299,季財報!A:H,6)</f>
        <v>1</v>
      </c>
      <c r="G177" s="18">
        <f>VLOOKUP(8299,季財報!A:H,7)</f>
        <v>0</v>
      </c>
      <c r="N177" s="20">
        <f t="shared" si="2"/>
        <v>4</v>
      </c>
    </row>
    <row r="178" spans="1:14">
      <c r="A178" s="308" t="str">
        <f>HYPERLINK("http://www.wantgoo.com/stock/chart.aspx?stockno=9924","9924")</f>
        <v>9924</v>
      </c>
      <c r="C178" s="18">
        <f>VLOOKUP(9924,季財報!A:H,3)</f>
        <v>1</v>
      </c>
      <c r="D178" s="18">
        <f>VLOOKUP(9924,季財報!A:H,4)</f>
        <v>1</v>
      </c>
      <c r="E178" s="18">
        <f>VLOOKUP(9924,季財報!A:H,5)</f>
        <v>1</v>
      </c>
      <c r="F178" s="18">
        <f>VLOOKUP(9924,季財報!A:H,6)</f>
        <v>1</v>
      </c>
      <c r="G178" s="18">
        <f>VLOOKUP(9924,季財報!A:H,7)</f>
        <v>0</v>
      </c>
      <c r="N178" s="20">
        <f t="shared" si="2"/>
        <v>4</v>
      </c>
    </row>
    <row r="179" spans="1:14">
      <c r="A179" s="307" t="str">
        <f>HYPERLINK("http://www.wantgoo.com/stock/chart.aspx?stockno=2106","2106")</f>
        <v>2106</v>
      </c>
      <c r="C179" s="18">
        <f>VLOOKUP(2106,季財報!A:H,3)</f>
        <v>1</v>
      </c>
      <c r="D179" s="18">
        <f>VLOOKUP(2106,季財報!A:H,4)</f>
        <v>1</v>
      </c>
      <c r="E179" s="18">
        <f>VLOOKUP(2106,季財報!A:H,5)</f>
        <v>0</v>
      </c>
      <c r="F179" s="18">
        <f>VLOOKUP(2106,季財報!A:H,6)</f>
        <v>1</v>
      </c>
      <c r="G179" s="18">
        <f>VLOOKUP(2106,季財報!A:H,7)</f>
        <v>0</v>
      </c>
      <c r="N179" s="20">
        <f t="shared" si="2"/>
        <v>3</v>
      </c>
    </row>
    <row r="180" spans="1:14">
      <c r="A180" s="307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 t="shared" si="2"/>
        <v>1</v>
      </c>
    </row>
    <row r="181" spans="1:14">
      <c r="A181" s="307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 t="shared" si="2"/>
        <v>2</v>
      </c>
    </row>
    <row r="182" spans="1:14">
      <c r="A182" s="308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 t="shared" si="2"/>
        <v>1</v>
      </c>
    </row>
    <row r="183" spans="1:14">
      <c r="A183" s="308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 t="shared" si="2"/>
        <v>2</v>
      </c>
    </row>
    <row r="184" spans="1:14">
      <c r="A184" s="307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 t="shared" si="2"/>
        <v>2</v>
      </c>
    </row>
    <row r="185" spans="1:14">
      <c r="A185" s="307" t="str">
        <f>HYPERLINK("http://www.wantgoo.com/stock/chart.aspx?stockno=6277","6277")</f>
        <v>6277</v>
      </c>
      <c r="C185" s="18">
        <f>VLOOKUP(6277,季財報!A:H,3)</f>
        <v>0</v>
      </c>
      <c r="D185" s="18">
        <f>VLOOKUP(6277,季財報!A:H,4)</f>
        <v>1</v>
      </c>
      <c r="E185" s="18">
        <f>VLOOKUP(6277,季財報!A:H,5)</f>
        <v>0</v>
      </c>
      <c r="F185" s="18">
        <f>VLOOKUP(6277,季財報!A:H,6)</f>
        <v>1</v>
      </c>
      <c r="G185" s="18">
        <f>VLOOKUP(6277,季財報!A:H,7)</f>
        <v>0</v>
      </c>
      <c r="N185" s="20">
        <f t="shared" si="2"/>
        <v>2</v>
      </c>
    </row>
    <row r="186" spans="1:14">
      <c r="A186" s="307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 t="shared" si="2"/>
        <v>4</v>
      </c>
    </row>
    <row r="187" spans="1:14">
      <c r="A187" s="307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 t="shared" si="2"/>
        <v>4</v>
      </c>
    </row>
    <row r="188" spans="1:14">
      <c r="A188" s="308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 t="shared" si="2"/>
        <v>0</v>
      </c>
    </row>
    <row r="189" spans="1:14">
      <c r="A189" s="307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 t="shared" si="2"/>
        <v>3</v>
      </c>
    </row>
    <row r="190" spans="1:14">
      <c r="A190" s="307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 t="shared" si="2"/>
        <v>3</v>
      </c>
    </row>
    <row r="191" spans="1:14">
      <c r="A191" s="307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 t="shared" si="2"/>
        <v>4</v>
      </c>
    </row>
    <row r="192" spans="1:14">
      <c r="A192" s="308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 t="shared" si="2"/>
        <v>1</v>
      </c>
    </row>
    <row r="193" spans="1:19">
      <c r="A193" s="307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 t="shared" si="2"/>
        <v>4</v>
      </c>
    </row>
    <row r="194" spans="1:19">
      <c r="A194" s="307" t="str">
        <f>HYPERLINK("http://www.wantgoo.com/stock/chart.aspx?stockno=8210","8210")</f>
        <v>8210</v>
      </c>
      <c r="C194" s="18">
        <f>VLOOKUP(8210,季財報!A:H,3)</f>
        <v>1</v>
      </c>
      <c r="D194" s="18">
        <f>VLOOKUP(8210,季財報!A:H,4)</f>
        <v>1</v>
      </c>
      <c r="E194" s="18">
        <f>VLOOKUP(8210,季財報!A:H,5)</f>
        <v>1</v>
      </c>
      <c r="F194" s="18">
        <f>VLOOKUP(8210,季財報!A:H,6)</f>
        <v>1</v>
      </c>
      <c r="G194" s="18">
        <f>VLOOKUP(8210,季財報!A:H,7)</f>
        <v>0</v>
      </c>
      <c r="N194" s="20">
        <f t="shared" si="2"/>
        <v>4</v>
      </c>
    </row>
    <row r="195" spans="1:19">
      <c r="A195" s="307" t="str">
        <f>HYPERLINK("http://www.wantgoo.com/stock/chart.aspx?stockno=3454","3454")</f>
        <v>3454</v>
      </c>
      <c r="C195" s="18">
        <f>VLOOKUP(3454,季財報!A:H,3)</f>
        <v>0</v>
      </c>
      <c r="D195" s="18">
        <f>VLOOKUP(3454,季財報!A:H,4)</f>
        <v>1</v>
      </c>
      <c r="E195" s="18">
        <f>VLOOKUP(3454,季財報!A:H,5)</f>
        <v>0</v>
      </c>
      <c r="F195" s="18">
        <f>VLOOKUP(3454,季財報!A:H,6)</f>
        <v>1</v>
      </c>
      <c r="G195" s="18">
        <f>VLOOKUP(3454,季財報!A:H,7)</f>
        <v>0</v>
      </c>
      <c r="N195" s="20">
        <f t="shared" si="2"/>
        <v>2</v>
      </c>
    </row>
    <row r="196" spans="1:19">
      <c r="A196" s="307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 t="shared" ref="N196:N259" si="3">SUM(C196:M196)</f>
        <v>4</v>
      </c>
    </row>
    <row r="197" spans="1:19">
      <c r="A197" s="307" t="str">
        <f>HYPERLINK("http://www.wantgoo.com/stock/chart.aspx?stockno=5490","5490")</f>
        <v>5490</v>
      </c>
      <c r="C197" s="18">
        <f>VLOOKUP(5490,季財報!A:H,3)</f>
        <v>0</v>
      </c>
      <c r="D197" s="18">
        <f>VLOOKUP(5490,季財報!A:H,4)</f>
        <v>1</v>
      </c>
      <c r="E197" s="18">
        <f>VLOOKUP(5490,季財報!A:H,5)</f>
        <v>0</v>
      </c>
      <c r="F197" s="18">
        <f>VLOOKUP(5490,季財報!A:H,6)</f>
        <v>1</v>
      </c>
      <c r="G197" s="18">
        <f>VLOOKUP(5490,季財報!A:H,7)</f>
        <v>1</v>
      </c>
      <c r="N197" s="20">
        <f t="shared" si="3"/>
        <v>3</v>
      </c>
    </row>
    <row r="198" spans="1:19">
      <c r="A198" s="308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 t="shared" si="3"/>
        <v>1</v>
      </c>
    </row>
    <row r="199" spans="1:19">
      <c r="A199" s="308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 t="shared" si="3"/>
        <v>3</v>
      </c>
    </row>
    <row r="200" spans="1:19">
      <c r="A200" s="308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 t="shared" si="3"/>
        <v>1</v>
      </c>
    </row>
    <row r="201" spans="1:19">
      <c r="A201" s="308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 t="shared" si="3"/>
        <v>5</v>
      </c>
    </row>
    <row r="202" spans="1:19">
      <c r="A202" s="307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 t="shared" si="3"/>
        <v>3</v>
      </c>
    </row>
    <row r="203" spans="1:19">
      <c r="A203" s="308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 t="shared" si="3"/>
        <v>5</v>
      </c>
    </row>
    <row r="204" spans="1:19" s="317" customFormat="1">
      <c r="A204" s="309" t="str">
        <f>HYPERLINK("http://www.wantgoo.com/stock/chart.aspx?stockno=8049","8049")</f>
        <v>8049</v>
      </c>
      <c r="B204" s="310"/>
      <c r="C204" s="311">
        <f>VLOOKUP(8049,季財報!A:H,3)</f>
        <v>1</v>
      </c>
      <c r="D204" s="311">
        <f>VLOOKUP(8049,季財報!A:H,4)</f>
        <v>1</v>
      </c>
      <c r="E204" s="311">
        <f>VLOOKUP(8049,季財報!A:H,5)</f>
        <v>2</v>
      </c>
      <c r="F204" s="311">
        <f>VLOOKUP(8049,季財報!A:H,6)</f>
        <v>1</v>
      </c>
      <c r="G204" s="311">
        <f>VLOOKUP(8049,季財報!A:H,7)</f>
        <v>0</v>
      </c>
      <c r="H204" s="312"/>
      <c r="I204" s="312"/>
      <c r="J204" s="312"/>
      <c r="K204" s="312"/>
      <c r="L204" s="312"/>
      <c r="M204" s="313"/>
      <c r="N204" s="312">
        <f t="shared" si="3"/>
        <v>5</v>
      </c>
      <c r="O204" s="314"/>
      <c r="P204" s="314"/>
      <c r="Q204" s="314"/>
      <c r="R204" s="314"/>
      <c r="S204" s="315"/>
    </row>
    <row r="205" spans="1:19" s="317" customFormat="1">
      <c r="A205" s="309" t="str">
        <f>HYPERLINK("http://www.wantgoo.com/stock/chart.aspx?stockno=1537","1537")</f>
        <v>1537</v>
      </c>
      <c r="B205" s="310"/>
      <c r="C205" s="311">
        <f>VLOOKUP(1537,季財報!A:H,3)</f>
        <v>1</v>
      </c>
      <c r="D205" s="311">
        <f>VLOOKUP(1537,季財報!A:H,4)</f>
        <v>1</v>
      </c>
      <c r="E205" s="311">
        <f>VLOOKUP(1537,季財報!A:H,5)</f>
        <v>0</v>
      </c>
      <c r="F205" s="311">
        <f>VLOOKUP(1537,季財報!A:H,6)</f>
        <v>1</v>
      </c>
      <c r="G205" s="311">
        <f>VLOOKUP(1537,季財報!A:H,7)</f>
        <v>1</v>
      </c>
      <c r="H205" s="312"/>
      <c r="I205" s="312"/>
      <c r="J205" s="312"/>
      <c r="K205" s="312"/>
      <c r="L205" s="312"/>
      <c r="M205" s="313"/>
      <c r="N205" s="312">
        <f t="shared" si="3"/>
        <v>4</v>
      </c>
      <c r="O205" s="314"/>
      <c r="P205" s="314"/>
      <c r="Q205" s="314"/>
      <c r="R205" s="314"/>
      <c r="S205" s="315"/>
    </row>
    <row r="206" spans="1:19">
      <c r="A206" s="307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 t="shared" si="3"/>
        <v>3</v>
      </c>
    </row>
    <row r="207" spans="1:19">
      <c r="A207" s="308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 t="shared" si="3"/>
        <v>1</v>
      </c>
    </row>
    <row r="208" spans="1:19">
      <c r="A208" s="307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 t="shared" si="3"/>
        <v>2</v>
      </c>
    </row>
    <row r="209" spans="1:14">
      <c r="A209" s="307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 t="shared" si="3"/>
        <v>3</v>
      </c>
    </row>
    <row r="210" spans="1:14">
      <c r="A210" s="307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 t="shared" si="3"/>
        <v>2</v>
      </c>
    </row>
    <row r="211" spans="1:14">
      <c r="A211" s="307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 t="shared" si="3"/>
        <v>4</v>
      </c>
    </row>
    <row r="212" spans="1:14">
      <c r="A212" s="308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 t="shared" si="3"/>
        <v>3</v>
      </c>
    </row>
    <row r="213" spans="1:14">
      <c r="A213" s="307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 t="shared" si="3"/>
        <v>4</v>
      </c>
    </row>
    <row r="214" spans="1:14">
      <c r="A214" s="308" t="str">
        <f>HYPERLINK("http://www.wantgoo.com/stock/chart.aspx?stockno=3558","3558")</f>
        <v>3558</v>
      </c>
      <c r="C214" s="18">
        <f>VLOOKUP(3558,季財報!A:H,3)</f>
        <v>1</v>
      </c>
      <c r="D214" s="18">
        <f>VLOOKUP(3558,季財報!A:H,4)</f>
        <v>1</v>
      </c>
      <c r="E214" s="18">
        <f>VLOOKUP(3558,季財報!A:H,5)</f>
        <v>2</v>
      </c>
      <c r="F214" s="18">
        <f>VLOOKUP(3558,季財報!A:H,6)</f>
        <v>1</v>
      </c>
      <c r="G214" s="18">
        <f>VLOOKUP(3558,季財報!A:H,7)</f>
        <v>1</v>
      </c>
      <c r="N214" s="20">
        <f t="shared" si="3"/>
        <v>6</v>
      </c>
    </row>
    <row r="215" spans="1:14">
      <c r="A215" s="307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 t="shared" si="3"/>
        <v>2</v>
      </c>
    </row>
    <row r="216" spans="1:14">
      <c r="A216" s="307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 t="shared" si="3"/>
        <v>2</v>
      </c>
    </row>
    <row r="217" spans="1:14">
      <c r="A217" s="308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 t="shared" si="3"/>
        <v>2</v>
      </c>
    </row>
    <row r="218" spans="1:14">
      <c r="A218" s="307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 t="shared" si="3"/>
        <v>1</v>
      </c>
    </row>
    <row r="219" spans="1:14">
      <c r="A219" s="307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 t="shared" si="3"/>
        <v>4</v>
      </c>
    </row>
    <row r="220" spans="1:14">
      <c r="A220" s="308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 t="shared" si="3"/>
        <v>4</v>
      </c>
    </row>
    <row r="221" spans="1:14">
      <c r="A221" s="308" t="str">
        <f>HYPERLINK("http://www.wantgoo.com/stock/chart.aspx?stockno=1726","1726")</f>
        <v>1726</v>
      </c>
      <c r="C221" s="18">
        <f>VLOOKUP(1726,季財報!A:H,3)</f>
        <v>1</v>
      </c>
      <c r="D221" s="18">
        <f>VLOOKUP(1726,季財報!A:H,4)</f>
        <v>1</v>
      </c>
      <c r="E221" s="18">
        <f>VLOOKUP(1726,季財報!A:H,5)</f>
        <v>0</v>
      </c>
      <c r="F221" s="18">
        <f>VLOOKUP(1726,季財報!A:H,6)</f>
        <v>1</v>
      </c>
      <c r="G221" s="18">
        <f>VLOOKUP(1726,季財報!A:H,7)</f>
        <v>0</v>
      </c>
      <c r="N221" s="20">
        <f t="shared" si="3"/>
        <v>3</v>
      </c>
    </row>
    <row r="222" spans="1:14">
      <c r="A222" s="307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 t="shared" si="3"/>
        <v>3</v>
      </c>
    </row>
    <row r="223" spans="1:14">
      <c r="A223" s="308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 t="shared" si="3"/>
        <v>1</v>
      </c>
    </row>
    <row r="224" spans="1:14">
      <c r="A224" s="307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 t="shared" si="3"/>
        <v>3</v>
      </c>
    </row>
    <row r="225" spans="1:14">
      <c r="A225" s="308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 t="shared" si="3"/>
        <v>1</v>
      </c>
    </row>
    <row r="226" spans="1:14">
      <c r="A226" s="307" t="str">
        <f>HYPERLINK("http://www.wantgoo.com/stock/chart.aspx?stockno=3088","3088")</f>
        <v>3088</v>
      </c>
      <c r="C226" s="18">
        <f>VLOOKUP(3088,季財報!A:H,3)</f>
        <v>1</v>
      </c>
      <c r="D226" s="18">
        <f>VLOOKUP(3088,季財報!A:H,4)</f>
        <v>1</v>
      </c>
      <c r="E226" s="18">
        <f>VLOOKUP(3088,季財報!A:H,5)</f>
        <v>1</v>
      </c>
      <c r="F226" s="18">
        <f>VLOOKUP(3088,季財報!A:H,6)</f>
        <v>1</v>
      </c>
      <c r="G226" s="18">
        <f>VLOOKUP(3088,季財報!A:H,7)</f>
        <v>0</v>
      </c>
      <c r="N226" s="20">
        <f t="shared" si="3"/>
        <v>4</v>
      </c>
    </row>
    <row r="227" spans="1:14">
      <c r="A227" s="308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 t="shared" si="3"/>
        <v>0</v>
      </c>
    </row>
    <row r="228" spans="1:14">
      <c r="A228" s="308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 t="shared" si="3"/>
        <v>4</v>
      </c>
    </row>
    <row r="229" spans="1:14">
      <c r="A229" s="308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 t="shared" si="3"/>
        <v>2</v>
      </c>
    </row>
    <row r="230" spans="1:14">
      <c r="A230" s="307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 t="shared" si="3"/>
        <v>2</v>
      </c>
    </row>
    <row r="231" spans="1:14">
      <c r="A231" s="307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 t="shared" si="3"/>
        <v>3</v>
      </c>
    </row>
    <row r="232" spans="1:14">
      <c r="A232" s="307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 t="shared" si="3"/>
        <v>2</v>
      </c>
    </row>
    <row r="233" spans="1:14">
      <c r="A233" s="307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 t="shared" si="3"/>
        <v>2</v>
      </c>
    </row>
    <row r="234" spans="1:14">
      <c r="A234" s="308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 t="shared" si="3"/>
        <v>3</v>
      </c>
    </row>
    <row r="235" spans="1:14">
      <c r="A235" s="308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 t="shared" si="3"/>
        <v>3</v>
      </c>
    </row>
    <row r="236" spans="1:14">
      <c r="A236" s="308" t="str">
        <f>HYPERLINK("http://www.wantgoo.com/stock/chart.aspx?stockno=8255","8255")</f>
        <v>8255</v>
      </c>
      <c r="C236" s="18">
        <f>VLOOKUP(8255,季財報!A:H,3)</f>
        <v>1</v>
      </c>
      <c r="D236" s="18">
        <f>VLOOKUP(8255,季財報!A:H,4)</f>
        <v>1</v>
      </c>
      <c r="E236" s="18">
        <f>VLOOKUP(8255,季財報!A:H,5)</f>
        <v>0</v>
      </c>
      <c r="F236" s="18">
        <f>VLOOKUP(8255,季財報!A:H,6)</f>
        <v>1</v>
      </c>
      <c r="G236" s="18">
        <f>VLOOKUP(8255,季財報!A:H,7)</f>
        <v>0</v>
      </c>
      <c r="N236" s="20">
        <f t="shared" si="3"/>
        <v>3</v>
      </c>
    </row>
    <row r="237" spans="1:14">
      <c r="A237" s="308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 t="shared" si="3"/>
        <v>2</v>
      </c>
    </row>
    <row r="238" spans="1:14">
      <c r="A238" s="308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 t="shared" si="3"/>
        <v>3</v>
      </c>
    </row>
    <row r="239" spans="1:14">
      <c r="A239" s="307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 t="shared" si="3"/>
        <v>3</v>
      </c>
    </row>
    <row r="240" spans="1:14">
      <c r="A240" s="307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 t="shared" si="3"/>
        <v>2</v>
      </c>
    </row>
    <row r="241" spans="1:19">
      <c r="A241" s="308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 t="shared" si="3"/>
        <v>2</v>
      </c>
    </row>
    <row r="242" spans="1:19">
      <c r="A242" s="307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 t="shared" si="3"/>
        <v>3</v>
      </c>
    </row>
    <row r="243" spans="1:19" s="317" customFormat="1">
      <c r="A243" s="309" t="str">
        <f>HYPERLINK("http://www.wantgoo.com/stock/chart.aspx?stockno=6202","6202")</f>
        <v>6202</v>
      </c>
      <c r="B243" s="310"/>
      <c r="C243" s="311">
        <f>VLOOKUP(6202,季財報!A:H,3)</f>
        <v>1</v>
      </c>
      <c r="D243" s="311">
        <f>VLOOKUP(6202,季財報!A:H,4)</f>
        <v>1</v>
      </c>
      <c r="E243" s="311">
        <f>VLOOKUP(6202,季財報!A:H,5)</f>
        <v>0</v>
      </c>
      <c r="F243" s="311">
        <f>VLOOKUP(6202,季財報!A:H,6)</f>
        <v>1</v>
      </c>
      <c r="G243" s="311">
        <f>VLOOKUP(6202,季財報!A:H,7)</f>
        <v>1</v>
      </c>
      <c r="H243" s="312"/>
      <c r="I243" s="312"/>
      <c r="J243" s="312"/>
      <c r="K243" s="312"/>
      <c r="L243" s="312"/>
      <c r="M243" s="313"/>
      <c r="N243" s="312">
        <f t="shared" si="3"/>
        <v>4</v>
      </c>
      <c r="O243" s="314"/>
      <c r="P243" s="314"/>
      <c r="Q243" s="314"/>
      <c r="R243" s="314"/>
      <c r="S243" s="315"/>
    </row>
    <row r="244" spans="1:19">
      <c r="A244" s="308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 t="shared" si="3"/>
        <v>3</v>
      </c>
    </row>
    <row r="245" spans="1:19">
      <c r="A245" s="308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 t="shared" si="3"/>
        <v>1</v>
      </c>
    </row>
    <row r="246" spans="1:19">
      <c r="A246" s="308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 t="shared" si="3"/>
        <v>2</v>
      </c>
    </row>
    <row r="247" spans="1:19">
      <c r="A247" s="308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 t="shared" si="3"/>
        <v>1</v>
      </c>
    </row>
    <row r="248" spans="1:19">
      <c r="A248" s="308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 t="shared" si="3"/>
        <v>2</v>
      </c>
    </row>
    <row r="249" spans="1:19">
      <c r="A249" s="307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 t="shared" si="3"/>
        <v>0</v>
      </c>
    </row>
    <row r="250" spans="1:19">
      <c r="A250" s="308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 t="shared" si="3"/>
        <v>2</v>
      </c>
    </row>
    <row r="251" spans="1:19">
      <c r="A251" s="307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 t="shared" si="3"/>
        <v>1</v>
      </c>
    </row>
    <row r="252" spans="1:19">
      <c r="A252" s="308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 t="shared" si="3"/>
        <v>4</v>
      </c>
    </row>
    <row r="253" spans="1:19">
      <c r="A253" s="308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 t="shared" si="3"/>
        <v>2</v>
      </c>
    </row>
    <row r="254" spans="1:19">
      <c r="A254" s="307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 t="shared" si="3"/>
        <v>3</v>
      </c>
    </row>
    <row r="255" spans="1:19">
      <c r="A255" s="307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 t="shared" si="3"/>
        <v>2</v>
      </c>
    </row>
    <row r="256" spans="1:19">
      <c r="A256" s="307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 t="shared" si="3"/>
        <v>0</v>
      </c>
    </row>
    <row r="257" spans="1:14">
      <c r="A257" s="308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 t="shared" si="3"/>
        <v>1</v>
      </c>
    </row>
    <row r="258" spans="1:14">
      <c r="A258" s="307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 t="shared" si="3"/>
        <v>1</v>
      </c>
    </row>
    <row r="259" spans="1:14">
      <c r="A259" s="308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 t="shared" si="3"/>
        <v>4</v>
      </c>
    </row>
    <row r="260" spans="1:14">
      <c r="A260" s="307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 t="shared" ref="N260:N323" si="4">SUM(C260:M260)</f>
        <v>2</v>
      </c>
    </row>
    <row r="261" spans="1:14">
      <c r="A261" s="307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 t="shared" si="4"/>
        <v>1</v>
      </c>
    </row>
    <row r="262" spans="1:14">
      <c r="A262" s="307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 t="shared" si="4"/>
        <v>2</v>
      </c>
    </row>
    <row r="263" spans="1:14">
      <c r="A263" s="307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 t="shared" si="4"/>
        <v>1</v>
      </c>
    </row>
    <row r="264" spans="1:14">
      <c r="A264" s="307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 t="shared" si="4"/>
        <v>3</v>
      </c>
    </row>
    <row r="265" spans="1:14">
      <c r="A265" s="308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 t="shared" si="4"/>
        <v>2</v>
      </c>
    </row>
    <row r="266" spans="1:14">
      <c r="A266" s="308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 t="shared" si="4"/>
        <v>2</v>
      </c>
    </row>
    <row r="267" spans="1:14">
      <c r="A267" s="308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 t="shared" si="4"/>
        <v>4</v>
      </c>
    </row>
    <row r="268" spans="1:14">
      <c r="A268" s="308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 t="shared" si="4"/>
        <v>3</v>
      </c>
    </row>
    <row r="269" spans="1:14">
      <c r="A269" s="307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 t="shared" si="4"/>
        <v>0</v>
      </c>
    </row>
    <row r="270" spans="1:14">
      <c r="A270" s="307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 t="shared" si="4"/>
        <v>1</v>
      </c>
    </row>
    <row r="271" spans="1:14">
      <c r="A271" s="307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 t="shared" si="4"/>
        <v>1</v>
      </c>
    </row>
    <row r="272" spans="1:14">
      <c r="A272" s="307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 t="shared" si="4"/>
        <v>3</v>
      </c>
    </row>
    <row r="273" spans="1:14">
      <c r="A273" s="307" t="str">
        <f>HYPERLINK("http://www.wantgoo.com/stock/chart.aspx?stockno=5288","5288")</f>
        <v>5288</v>
      </c>
      <c r="C273" s="18">
        <f>VLOOKUP(5288,季財報!A:H,3)</f>
        <v>1</v>
      </c>
      <c r="D273" s="18">
        <f>VLOOKUP(5288,季財報!A:H,4)</f>
        <v>1</v>
      </c>
      <c r="E273" s="18">
        <f>VLOOKUP(5288,季財報!A:H,5)</f>
        <v>1</v>
      </c>
      <c r="F273" s="18">
        <f>VLOOKUP(5288,季財報!A:H,6)</f>
        <v>1</v>
      </c>
      <c r="G273" s="18">
        <f>VLOOKUP(5288,季財報!A:H,7)</f>
        <v>0</v>
      </c>
      <c r="N273" s="20">
        <f t="shared" si="4"/>
        <v>4</v>
      </c>
    </row>
    <row r="274" spans="1:14">
      <c r="A274" s="307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 t="shared" si="4"/>
        <v>2</v>
      </c>
    </row>
    <row r="275" spans="1:14">
      <c r="A275" s="307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 t="shared" si="4"/>
        <v>2</v>
      </c>
    </row>
    <row r="276" spans="1:14">
      <c r="A276" s="307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 t="shared" si="4"/>
        <v>4</v>
      </c>
    </row>
    <row r="277" spans="1:14">
      <c r="A277" s="308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 t="shared" si="4"/>
        <v>1</v>
      </c>
    </row>
    <row r="278" spans="1:14">
      <c r="A278" s="308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 t="shared" si="4"/>
        <v>3</v>
      </c>
    </row>
    <row r="279" spans="1:14">
      <c r="A279" s="308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 t="shared" si="4"/>
        <v>5</v>
      </c>
    </row>
    <row r="280" spans="1:14">
      <c r="A280" s="308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 t="shared" si="4"/>
        <v>3</v>
      </c>
    </row>
    <row r="281" spans="1:14">
      <c r="A281" s="308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 t="shared" si="4"/>
        <v>2</v>
      </c>
    </row>
    <row r="282" spans="1:14">
      <c r="A282" s="308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 t="shared" si="4"/>
        <v>3</v>
      </c>
    </row>
    <row r="283" spans="1:14">
      <c r="A283" s="307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 t="shared" si="4"/>
        <v>1</v>
      </c>
    </row>
    <row r="284" spans="1:14">
      <c r="A284" s="308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 t="shared" si="4"/>
        <v>2</v>
      </c>
    </row>
    <row r="285" spans="1:14">
      <c r="A285" s="307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 t="shared" si="4"/>
        <v>0</v>
      </c>
    </row>
    <row r="286" spans="1:14">
      <c r="A286" s="308" t="str">
        <f>HYPERLINK("http://www.wantgoo.com/stock/chart.aspx?stockno=4733","4733")</f>
        <v>4733</v>
      </c>
      <c r="C286" s="18">
        <f>VLOOKUP(4733,季財報!A:H,3)</f>
        <v>1</v>
      </c>
      <c r="D286" s="18">
        <f>VLOOKUP(4733,季財報!A:H,4)</f>
        <v>1</v>
      </c>
      <c r="E286" s="18">
        <f>VLOOKUP(4733,季財報!A:H,5)</f>
        <v>0</v>
      </c>
      <c r="F286" s="18">
        <f>VLOOKUP(4733,季財報!A:H,6)</f>
        <v>0</v>
      </c>
      <c r="G286" s="18">
        <f>VLOOKUP(4733,季財報!A:H,7)</f>
        <v>0</v>
      </c>
      <c r="N286" s="20">
        <f t="shared" si="4"/>
        <v>2</v>
      </c>
    </row>
    <row r="287" spans="1:14">
      <c r="A287" s="307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 t="shared" si="4"/>
        <v>4</v>
      </c>
    </row>
    <row r="288" spans="1:14">
      <c r="A288" s="307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 t="shared" si="4"/>
        <v>2</v>
      </c>
    </row>
    <row r="289" spans="1:19">
      <c r="A289" s="307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 t="shared" si="4"/>
        <v>4</v>
      </c>
    </row>
    <row r="290" spans="1:19">
      <c r="A290" s="308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 t="shared" si="4"/>
        <v>3</v>
      </c>
    </row>
    <row r="291" spans="1:19">
      <c r="A291" s="308" t="str">
        <f>HYPERLINK("http://www.wantgoo.com/stock/chart.aspx?stockno=4935","4935")</f>
        <v>4935</v>
      </c>
      <c r="C291" s="18">
        <f>VLOOKUP(4935,季財報!A:H,3)</f>
        <v>1</v>
      </c>
      <c r="D291" s="18">
        <f>VLOOKUP(4935,季財報!A:H,4)</f>
        <v>1</v>
      </c>
      <c r="E291" s="18">
        <f>VLOOKUP(4935,季財報!A:H,5)</f>
        <v>2</v>
      </c>
      <c r="F291" s="18">
        <f>VLOOKUP(4935,季財報!A:H,6)</f>
        <v>1</v>
      </c>
      <c r="G291" s="18">
        <f>VLOOKUP(4935,季財報!A:H,7)</f>
        <v>1</v>
      </c>
      <c r="N291" s="20">
        <f t="shared" si="4"/>
        <v>6</v>
      </c>
    </row>
    <row r="292" spans="1:19">
      <c r="A292" s="308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 t="shared" si="4"/>
        <v>5</v>
      </c>
    </row>
    <row r="293" spans="1:19">
      <c r="A293" s="308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 t="shared" si="4"/>
        <v>2</v>
      </c>
    </row>
    <row r="294" spans="1:19">
      <c r="A294" s="307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 t="shared" si="4"/>
        <v>2</v>
      </c>
    </row>
    <row r="295" spans="1:19">
      <c r="A295" s="307" t="str">
        <f>HYPERLINK("http://www.wantgoo.com/stock/chart.aspx?stockno=3234","3234")</f>
        <v>3234</v>
      </c>
      <c r="C295" s="18">
        <f>VLOOKUP(3234,季財報!A:H,3)</f>
        <v>1</v>
      </c>
      <c r="D295" s="18">
        <f>VLOOKUP(3234,季財報!A:H,4)</f>
        <v>1</v>
      </c>
      <c r="E295" s="18">
        <f>VLOOKUP(3234,季財報!A:H,5)</f>
        <v>2</v>
      </c>
      <c r="F295" s="18">
        <f>VLOOKUP(3234,季財報!A:H,6)</f>
        <v>1</v>
      </c>
      <c r="G295" s="18">
        <f>VLOOKUP(3234,季財報!A:H,7)</f>
        <v>1</v>
      </c>
      <c r="N295" s="20">
        <f t="shared" si="4"/>
        <v>6</v>
      </c>
    </row>
    <row r="296" spans="1:19">
      <c r="A296" s="307" t="str">
        <f>HYPERLINK("http://www.wantgoo.com/stock/chart.aspx?stockno=8422","8422")</f>
        <v>8422</v>
      </c>
      <c r="C296" s="18">
        <f>VLOOKUP(8422,季財報!A:H,3)</f>
        <v>1</v>
      </c>
      <c r="D296" s="18">
        <f>VLOOKUP(8422,季財報!A:H,4)</f>
        <v>1</v>
      </c>
      <c r="E296" s="18">
        <f>VLOOKUP(8422,季財報!A:H,5)</f>
        <v>2</v>
      </c>
      <c r="F296" s="18">
        <f>VLOOKUP(8422,季財報!A:H,6)</f>
        <v>1</v>
      </c>
      <c r="G296" s="18">
        <f>VLOOKUP(8422,季財報!A:H,7)</f>
        <v>0</v>
      </c>
      <c r="N296" s="20">
        <f t="shared" si="4"/>
        <v>5</v>
      </c>
    </row>
    <row r="297" spans="1:19">
      <c r="A297" s="307" t="str">
        <f>HYPERLINK("http://www.wantgoo.com/stock/chart.aspx?stockno=4126","4126")</f>
        <v>4126</v>
      </c>
      <c r="C297" s="18">
        <f>VLOOKUP(4126,季財報!A:H,3)</f>
        <v>1</v>
      </c>
      <c r="D297" s="18">
        <f>VLOOKUP(4126,季財報!A:H,4)</f>
        <v>1</v>
      </c>
      <c r="E297" s="18">
        <f>VLOOKUP(4126,季財報!A:H,5)</f>
        <v>1</v>
      </c>
      <c r="F297" s="18">
        <f>VLOOKUP(4126,季財報!A:H,6)</f>
        <v>1</v>
      </c>
      <c r="G297" s="18">
        <f>VLOOKUP(4126,季財報!A:H,7)</f>
        <v>0</v>
      </c>
      <c r="N297" s="20">
        <f t="shared" si="4"/>
        <v>4</v>
      </c>
    </row>
    <row r="298" spans="1:19">
      <c r="A298" s="308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 t="shared" si="4"/>
        <v>1</v>
      </c>
    </row>
    <row r="299" spans="1:19">
      <c r="A299" s="307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 t="shared" si="4"/>
        <v>1</v>
      </c>
    </row>
    <row r="300" spans="1:19">
      <c r="A300" s="308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 t="shared" si="4"/>
        <v>3</v>
      </c>
    </row>
    <row r="301" spans="1:19" s="317" customFormat="1">
      <c r="A301" s="309" t="str">
        <f>HYPERLINK("http://www.wantgoo.com/stock/chart.aspx?stockno=2397","2397")</f>
        <v>2397</v>
      </c>
      <c r="B301" s="310"/>
      <c r="C301" s="311">
        <f>VLOOKUP(2397,季財報!A:H,3)</f>
        <v>1</v>
      </c>
      <c r="D301" s="311">
        <f>VLOOKUP(2397,季財報!A:H,4)</f>
        <v>1</v>
      </c>
      <c r="E301" s="311">
        <f>VLOOKUP(2397,季財報!A:H,5)</f>
        <v>0</v>
      </c>
      <c r="F301" s="311">
        <f>VLOOKUP(2397,季財報!A:H,6)</f>
        <v>1</v>
      </c>
      <c r="G301" s="311">
        <f>VLOOKUP(2397,季財報!A:H,7)</f>
        <v>0</v>
      </c>
      <c r="H301" s="312"/>
      <c r="I301" s="312"/>
      <c r="J301" s="312"/>
      <c r="K301" s="312"/>
      <c r="L301" s="312"/>
      <c r="M301" s="313"/>
      <c r="N301" s="312">
        <f t="shared" si="4"/>
        <v>3</v>
      </c>
      <c r="O301" s="314"/>
      <c r="P301" s="314"/>
      <c r="Q301" s="314"/>
      <c r="R301" s="314"/>
      <c r="S301" s="315"/>
    </row>
    <row r="302" spans="1:19">
      <c r="A302" s="307" t="str">
        <f>HYPERLINK("http://www.wantgoo.com/stock/chart.aspx?stockno=9914","9914")</f>
        <v>9914</v>
      </c>
      <c r="C302" s="18">
        <f>VLOOKUP(9914,季財報!A:H,3)</f>
        <v>1</v>
      </c>
      <c r="D302" s="18">
        <f>VLOOKUP(9914,季財報!A:H,4)</f>
        <v>1</v>
      </c>
      <c r="E302" s="18">
        <f>VLOOKUP(9914,季財報!A:H,5)</f>
        <v>1</v>
      </c>
      <c r="F302" s="18">
        <f>VLOOKUP(9914,季財報!A:H,6)</f>
        <v>1</v>
      </c>
      <c r="G302" s="18">
        <f>VLOOKUP(9914,季財報!A:H,7)</f>
        <v>0</v>
      </c>
      <c r="N302" s="20">
        <f t="shared" si="4"/>
        <v>4</v>
      </c>
    </row>
    <row r="303" spans="1:19">
      <c r="A303" s="307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 t="shared" si="4"/>
        <v>3</v>
      </c>
    </row>
    <row r="304" spans="1:19">
      <c r="A304" s="307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 t="shared" si="4"/>
        <v>2</v>
      </c>
    </row>
    <row r="305" spans="1:14">
      <c r="A305" s="308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 t="shared" si="4"/>
        <v>4</v>
      </c>
    </row>
    <row r="306" spans="1:14">
      <c r="A306" s="308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 t="shared" si="4"/>
        <v>3</v>
      </c>
    </row>
    <row r="307" spans="1:14">
      <c r="A307" s="307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 t="shared" si="4"/>
        <v>1</v>
      </c>
    </row>
    <row r="308" spans="1:14">
      <c r="A308" s="307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 t="shared" si="4"/>
        <v>2</v>
      </c>
    </row>
    <row r="309" spans="1:14">
      <c r="A309" s="308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 t="shared" si="4"/>
        <v>3</v>
      </c>
    </row>
    <row r="310" spans="1:14">
      <c r="A310" s="308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 t="shared" si="4"/>
        <v>1</v>
      </c>
    </row>
    <row r="311" spans="1:14">
      <c r="A311" s="308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 t="shared" si="4"/>
        <v>1</v>
      </c>
    </row>
    <row r="312" spans="1:14">
      <c r="A312" s="308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 t="shared" si="4"/>
        <v>3</v>
      </c>
    </row>
    <row r="313" spans="1:14">
      <c r="A313" s="307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 t="shared" si="4"/>
        <v>4</v>
      </c>
    </row>
    <row r="314" spans="1:14">
      <c r="A314" s="307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 t="shared" si="4"/>
        <v>1</v>
      </c>
    </row>
    <row r="315" spans="1:14">
      <c r="A315" s="308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 t="shared" si="4"/>
        <v>3</v>
      </c>
    </row>
    <row r="316" spans="1:14">
      <c r="A316" s="307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 t="shared" si="4"/>
        <v>5</v>
      </c>
    </row>
    <row r="317" spans="1:14">
      <c r="A317" s="308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 t="shared" si="4"/>
        <v>1</v>
      </c>
    </row>
    <row r="318" spans="1:14">
      <c r="A318" s="308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 t="shared" si="4"/>
        <v>1</v>
      </c>
    </row>
    <row r="319" spans="1:14">
      <c r="A319" s="307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 t="shared" si="4"/>
        <v>1</v>
      </c>
    </row>
    <row r="320" spans="1:14">
      <c r="A320" s="307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 t="shared" si="4"/>
        <v>1</v>
      </c>
    </row>
    <row r="321" spans="1:14">
      <c r="A321" s="307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 t="shared" si="4"/>
        <v>2</v>
      </c>
    </row>
    <row r="322" spans="1:14">
      <c r="A322" s="308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 t="shared" si="4"/>
        <v>1</v>
      </c>
    </row>
    <row r="323" spans="1:14">
      <c r="A323" s="308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 t="shared" si="4"/>
        <v>2</v>
      </c>
    </row>
    <row r="324" spans="1:14">
      <c r="A324" s="307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 t="shared" ref="N324:N387" si="5">SUM(C324:M324)</f>
        <v>0</v>
      </c>
    </row>
    <row r="325" spans="1:14">
      <c r="A325" s="307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 t="shared" si="5"/>
        <v>1</v>
      </c>
    </row>
    <row r="326" spans="1:14">
      <c r="A326" s="307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 t="shared" si="5"/>
        <v>1</v>
      </c>
    </row>
    <row r="327" spans="1:14">
      <c r="A327" s="308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 t="shared" si="5"/>
        <v>4</v>
      </c>
    </row>
    <row r="328" spans="1:14">
      <c r="A328" s="307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 t="shared" si="5"/>
        <v>5</v>
      </c>
    </row>
    <row r="329" spans="1:14">
      <c r="A329" s="307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 t="shared" si="5"/>
        <v>5</v>
      </c>
    </row>
    <row r="330" spans="1:14">
      <c r="A330" s="308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 t="shared" si="5"/>
        <v>3</v>
      </c>
    </row>
    <row r="331" spans="1:14">
      <c r="A331" s="308" t="str">
        <f>HYPERLINK("http://www.wantgoo.com/stock/chart.aspx?stockno=2377","2377")</f>
        <v>2377</v>
      </c>
      <c r="C331" s="18">
        <f>VLOOKUP(2377,季財報!A:H,3)</f>
        <v>1</v>
      </c>
      <c r="D331" s="18">
        <f>VLOOKUP(2377,季財報!A:H,4)</f>
        <v>1</v>
      </c>
      <c r="E331" s="18">
        <f>VLOOKUP(2377,季財報!A:H,5)</f>
        <v>2</v>
      </c>
      <c r="F331" s="18">
        <f>VLOOKUP(2377,季財報!A:H,6)</f>
        <v>1</v>
      </c>
      <c r="G331" s="18">
        <f>VLOOKUP(2377,季財報!A:H,7)</f>
        <v>0</v>
      </c>
      <c r="N331" s="20">
        <f t="shared" si="5"/>
        <v>5</v>
      </c>
    </row>
    <row r="332" spans="1:14">
      <c r="A332" s="307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 t="shared" si="5"/>
        <v>0</v>
      </c>
    </row>
    <row r="333" spans="1:14">
      <c r="A333" s="307" t="str">
        <f>HYPERLINK("http://www.wantgoo.com/stock/chart.aspx?stockno=4912","4912")</f>
        <v>4912</v>
      </c>
      <c r="C333" s="18">
        <f>VLOOKUP(4912,季財報!A:H,3)</f>
        <v>0</v>
      </c>
      <c r="D333" s="18">
        <f>VLOOKUP(4912,季財報!A:H,4)</f>
        <v>1</v>
      </c>
      <c r="E333" s="18">
        <f>VLOOKUP(4912,季財報!A:H,5)</f>
        <v>0</v>
      </c>
      <c r="F333" s="18">
        <f>VLOOKUP(4912,季財報!A:H,6)</f>
        <v>1</v>
      </c>
      <c r="G333" s="18">
        <f>VLOOKUP(4912,季財報!A:H,7)</f>
        <v>0</v>
      </c>
      <c r="N333" s="20">
        <f t="shared" si="5"/>
        <v>2</v>
      </c>
    </row>
    <row r="334" spans="1:14">
      <c r="A334" s="307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 t="shared" si="5"/>
        <v>1</v>
      </c>
    </row>
    <row r="335" spans="1:14">
      <c r="A335" s="307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 t="shared" si="5"/>
        <v>3</v>
      </c>
    </row>
    <row r="336" spans="1:14">
      <c r="A336" s="307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 t="shared" si="5"/>
        <v>4</v>
      </c>
    </row>
    <row r="337" spans="1:14">
      <c r="A337" s="308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 t="shared" si="5"/>
        <v>1</v>
      </c>
    </row>
    <row r="338" spans="1:14">
      <c r="A338" s="307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 t="shared" si="5"/>
        <v>1</v>
      </c>
    </row>
    <row r="339" spans="1:14">
      <c r="A339" s="308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 t="shared" si="5"/>
        <v>2</v>
      </c>
    </row>
    <row r="340" spans="1:14">
      <c r="A340" s="307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 t="shared" si="5"/>
        <v>5</v>
      </c>
    </row>
    <row r="341" spans="1:14">
      <c r="A341" s="307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 t="shared" si="5"/>
        <v>3</v>
      </c>
    </row>
    <row r="342" spans="1:14">
      <c r="A342" s="308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 t="shared" si="5"/>
        <v>1</v>
      </c>
    </row>
    <row r="343" spans="1:14">
      <c r="A343" s="307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 t="shared" si="5"/>
        <v>1</v>
      </c>
    </row>
    <row r="344" spans="1:14">
      <c r="A344" s="308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 t="shared" si="5"/>
        <v>3</v>
      </c>
    </row>
    <row r="345" spans="1:14">
      <c r="A345" s="308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 t="shared" si="5"/>
        <v>2</v>
      </c>
    </row>
    <row r="346" spans="1:14">
      <c r="A346" s="307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 t="shared" si="5"/>
        <v>1</v>
      </c>
    </row>
    <row r="347" spans="1:14">
      <c r="A347" s="308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 t="shared" si="5"/>
        <v>4</v>
      </c>
    </row>
    <row r="348" spans="1:14">
      <c r="A348" s="308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 t="shared" si="5"/>
        <v>1</v>
      </c>
    </row>
    <row r="349" spans="1:14">
      <c r="A349" s="308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 t="shared" si="5"/>
        <v>2</v>
      </c>
    </row>
    <row r="350" spans="1:14">
      <c r="A350" s="308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 t="shared" si="5"/>
        <v>2</v>
      </c>
    </row>
    <row r="351" spans="1:14">
      <c r="A351" s="308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 t="shared" si="5"/>
        <v>2</v>
      </c>
    </row>
    <row r="352" spans="1:14">
      <c r="A352" s="308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 t="shared" si="5"/>
        <v>1</v>
      </c>
    </row>
    <row r="353" spans="1:14">
      <c r="A353" s="307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 t="shared" si="5"/>
        <v>2</v>
      </c>
    </row>
    <row r="354" spans="1:14">
      <c r="A354" s="307" t="str">
        <f>HYPERLINK("http://www.wantgoo.com/stock/chart.aspx?stockno=4103","4103")</f>
        <v>4103</v>
      </c>
      <c r="C354" s="18">
        <f>VLOOKUP(4103,季財報!A:H,3)</f>
        <v>1</v>
      </c>
      <c r="D354" s="18">
        <f>VLOOKUP(4103,季財報!A:H,4)</f>
        <v>1</v>
      </c>
      <c r="E354" s="18">
        <f>VLOOKUP(4103,季財報!A:H,5)</f>
        <v>1</v>
      </c>
      <c r="F354" s="18">
        <f>VLOOKUP(4103,季財報!A:H,6)</f>
        <v>0</v>
      </c>
      <c r="G354" s="18">
        <f>VLOOKUP(4103,季財報!A:H,7)</f>
        <v>0</v>
      </c>
      <c r="N354" s="20">
        <f t="shared" si="5"/>
        <v>3</v>
      </c>
    </row>
    <row r="355" spans="1:14">
      <c r="A355" s="308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 t="shared" si="5"/>
        <v>0</v>
      </c>
    </row>
    <row r="356" spans="1:14">
      <c r="A356" s="308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 t="shared" si="5"/>
        <v>3</v>
      </c>
    </row>
    <row r="357" spans="1:14">
      <c r="A357" s="307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 t="shared" si="5"/>
        <v>2</v>
      </c>
    </row>
    <row r="358" spans="1:14">
      <c r="A358" s="307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 t="shared" si="5"/>
        <v>1</v>
      </c>
    </row>
    <row r="359" spans="1:14">
      <c r="A359" s="307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 t="shared" si="5"/>
        <v>5</v>
      </c>
    </row>
    <row r="360" spans="1:14">
      <c r="A360" s="307" t="str">
        <f>HYPERLINK("http://www.wantgoo.com/stock/chart.aspx?stockno=8114","8114")</f>
        <v>8114</v>
      </c>
      <c r="C360" s="18">
        <f>VLOOKUP(8114,季財報!A:H,3)</f>
        <v>1</v>
      </c>
      <c r="D360" s="18">
        <f>VLOOKUP(8114,季財報!A:H,4)</f>
        <v>1</v>
      </c>
      <c r="E360" s="18">
        <f>VLOOKUP(8114,季財報!A:H,5)</f>
        <v>1</v>
      </c>
      <c r="F360" s="18">
        <f>VLOOKUP(8114,季財報!A:H,6)</f>
        <v>1</v>
      </c>
      <c r="G360" s="18">
        <f>VLOOKUP(8114,季財報!A:H,7)</f>
        <v>0</v>
      </c>
      <c r="N360" s="20">
        <f t="shared" si="5"/>
        <v>4</v>
      </c>
    </row>
    <row r="361" spans="1:14">
      <c r="A361" s="307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 t="shared" si="5"/>
        <v>4</v>
      </c>
    </row>
    <row r="362" spans="1:14">
      <c r="A362" s="308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 t="shared" si="5"/>
        <v>2</v>
      </c>
    </row>
    <row r="363" spans="1:14">
      <c r="A363" s="308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 t="shared" si="5"/>
        <v>3</v>
      </c>
    </row>
    <row r="364" spans="1:14">
      <c r="A364" s="307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 t="shared" si="5"/>
        <v>2</v>
      </c>
    </row>
    <row r="365" spans="1:14">
      <c r="A365" s="308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 t="shared" si="5"/>
        <v>6</v>
      </c>
    </row>
    <row r="366" spans="1:14">
      <c r="A366" s="307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 t="shared" si="5"/>
        <v>1</v>
      </c>
    </row>
    <row r="367" spans="1:14">
      <c r="A367" s="308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 t="shared" si="5"/>
        <v>2</v>
      </c>
    </row>
    <row r="368" spans="1:14">
      <c r="A368" s="308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 t="shared" si="5"/>
        <v>4</v>
      </c>
    </row>
    <row r="369" spans="1:14">
      <c r="A369" s="307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 t="shared" si="5"/>
        <v>4</v>
      </c>
    </row>
    <row r="370" spans="1:14">
      <c r="A370" s="308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 t="shared" si="5"/>
        <v>3</v>
      </c>
    </row>
    <row r="371" spans="1:14">
      <c r="A371" s="307" t="str">
        <f>HYPERLINK("http://www.wantgoo.com/stock/chart.aspx?stockno=2059","2059")</f>
        <v>2059</v>
      </c>
      <c r="C371" s="18">
        <f>VLOOKUP(2059,季財報!A:H,3)</f>
        <v>1</v>
      </c>
      <c r="D371" s="18">
        <f>VLOOKUP(2059,季財報!A:H,4)</f>
        <v>1</v>
      </c>
      <c r="E371" s="18">
        <f>VLOOKUP(2059,季財報!A:H,5)</f>
        <v>1</v>
      </c>
      <c r="F371" s="18">
        <f>VLOOKUP(2059,季財報!A:H,6)</f>
        <v>1</v>
      </c>
      <c r="G371" s="18">
        <f>VLOOKUP(2059,季財報!A:H,7)</f>
        <v>0</v>
      </c>
      <c r="N371" s="20">
        <f t="shared" si="5"/>
        <v>4</v>
      </c>
    </row>
    <row r="372" spans="1:14">
      <c r="A372" s="307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 t="shared" si="5"/>
        <v>3</v>
      </c>
    </row>
    <row r="373" spans="1:14">
      <c r="A373" s="308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 t="shared" si="5"/>
        <v>4</v>
      </c>
    </row>
    <row r="374" spans="1:14">
      <c r="A374" s="307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 t="shared" si="5"/>
        <v>3</v>
      </c>
    </row>
    <row r="375" spans="1:14">
      <c r="A375" s="307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 t="shared" si="5"/>
        <v>3</v>
      </c>
    </row>
    <row r="376" spans="1:14">
      <c r="A376" s="307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 t="shared" si="5"/>
        <v>3</v>
      </c>
    </row>
    <row r="377" spans="1:14">
      <c r="A377" s="307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 t="shared" si="5"/>
        <v>6</v>
      </c>
    </row>
    <row r="378" spans="1:14">
      <c r="A378" s="308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 t="shared" si="5"/>
        <v>2</v>
      </c>
    </row>
    <row r="379" spans="1:14">
      <c r="A379" s="307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 t="shared" si="5"/>
        <v>5</v>
      </c>
    </row>
    <row r="380" spans="1:14">
      <c r="A380" s="307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 t="shared" si="5"/>
        <v>2</v>
      </c>
    </row>
    <row r="381" spans="1:14">
      <c r="A381" s="307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 t="shared" si="5"/>
        <v>2</v>
      </c>
    </row>
    <row r="382" spans="1:14">
      <c r="A382" s="308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 t="shared" si="5"/>
        <v>2</v>
      </c>
    </row>
    <row r="383" spans="1:14">
      <c r="A383" s="307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 t="shared" si="5"/>
        <v>1</v>
      </c>
    </row>
    <row r="384" spans="1:14">
      <c r="A384" s="307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 t="shared" si="5"/>
        <v>3</v>
      </c>
    </row>
    <row r="385" spans="1:14">
      <c r="A385" s="307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 t="shared" si="5"/>
        <v>4</v>
      </c>
    </row>
    <row r="386" spans="1:14">
      <c r="A386" s="308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 t="shared" si="5"/>
        <v>4</v>
      </c>
    </row>
    <row r="387" spans="1:14">
      <c r="A387" s="308" t="str">
        <f>HYPERLINK("http://www.wantgoo.com/stock/chart.aspx?stockno=9904","9904")</f>
        <v>9904</v>
      </c>
      <c r="C387" s="18">
        <f>VLOOKUP(9904,季財報!A:H,3)</f>
        <v>0</v>
      </c>
      <c r="D387" s="18">
        <f>VLOOKUP(9904,季財報!A:H,4)</f>
        <v>1</v>
      </c>
      <c r="E387" s="18">
        <f>VLOOKUP(9904,季財報!A:H,5)</f>
        <v>0</v>
      </c>
      <c r="F387" s="18">
        <f>VLOOKUP(9904,季財報!A:H,6)</f>
        <v>1</v>
      </c>
      <c r="G387" s="18">
        <f>VLOOKUP(9904,季財報!A:H,7)</f>
        <v>1</v>
      </c>
      <c r="N387" s="20">
        <f t="shared" si="5"/>
        <v>3</v>
      </c>
    </row>
    <row r="388" spans="1:14">
      <c r="A388" s="307" t="str">
        <f>HYPERLINK("http://www.wantgoo.com/stock/chart.aspx?stockno=2455","2455")</f>
        <v>2455</v>
      </c>
      <c r="C388" s="18">
        <f>VLOOKUP(2455,季財報!A:H,3)</f>
        <v>0</v>
      </c>
      <c r="D388" s="18">
        <f>VLOOKUP(2455,季財報!A:H,4)</f>
        <v>1</v>
      </c>
      <c r="E388" s="18">
        <f>VLOOKUP(2455,季財報!A:H,5)</f>
        <v>0</v>
      </c>
      <c r="F388" s="18">
        <f>VLOOKUP(2455,季財報!A:H,6)</f>
        <v>1</v>
      </c>
      <c r="G388" s="18">
        <f>VLOOKUP(2455,季財報!A:H,7)</f>
        <v>0</v>
      </c>
      <c r="N388" s="20">
        <f t="shared" ref="N388:N451" si="6">SUM(C388:M388)</f>
        <v>2</v>
      </c>
    </row>
    <row r="389" spans="1:14">
      <c r="A389" s="308" t="str">
        <f>HYPERLINK("http://www.wantgoo.com/stock/chart.aspx?stockno=3023","3023")</f>
        <v>3023</v>
      </c>
      <c r="C389" s="18">
        <f>VLOOKUP(3023,季財報!A:H,3)</f>
        <v>1</v>
      </c>
      <c r="D389" s="18">
        <f>VLOOKUP(3023,季財報!A:H,4)</f>
        <v>1</v>
      </c>
      <c r="E389" s="18">
        <f>VLOOKUP(3023,季財報!A:H,5)</f>
        <v>0</v>
      </c>
      <c r="F389" s="18">
        <f>VLOOKUP(3023,季財報!A:H,6)</f>
        <v>1</v>
      </c>
      <c r="G389" s="18">
        <f>VLOOKUP(3023,季財報!A:H,7)</f>
        <v>0</v>
      </c>
      <c r="N389" s="20">
        <f t="shared" si="6"/>
        <v>3</v>
      </c>
    </row>
    <row r="390" spans="1:14">
      <c r="A390" s="308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 t="shared" si="6"/>
        <v>3</v>
      </c>
    </row>
    <row r="391" spans="1:14">
      <c r="A391" s="308" t="str">
        <f>HYPERLINK("http://www.wantgoo.com/stock/chart.aspx?stockno=3691","3691")</f>
        <v>3691</v>
      </c>
      <c r="C391" s="18">
        <f>VLOOKUP(3691,季財報!A:H,3)</f>
        <v>1</v>
      </c>
      <c r="D391" s="18">
        <f>VLOOKUP(3691,季財報!A:H,4)</f>
        <v>1</v>
      </c>
      <c r="E391" s="18">
        <f>VLOOKUP(3691,季財報!A:H,5)</f>
        <v>0</v>
      </c>
      <c r="F391" s="18">
        <f>VLOOKUP(3691,季財報!A:H,6)</f>
        <v>1</v>
      </c>
      <c r="G391" s="18">
        <f>VLOOKUP(3691,季財報!A:H,7)</f>
        <v>0</v>
      </c>
      <c r="N391" s="20">
        <f t="shared" si="6"/>
        <v>3</v>
      </c>
    </row>
    <row r="392" spans="1:14">
      <c r="A392" s="307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 t="shared" si="6"/>
        <v>2</v>
      </c>
    </row>
    <row r="393" spans="1:14">
      <c r="A393" s="307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 t="shared" si="6"/>
        <v>0</v>
      </c>
    </row>
    <row r="394" spans="1:14">
      <c r="A394" s="307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 t="shared" si="6"/>
        <v>3</v>
      </c>
    </row>
    <row r="395" spans="1:14">
      <c r="A395" s="308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 t="shared" si="6"/>
        <v>4</v>
      </c>
    </row>
    <row r="396" spans="1:14">
      <c r="A396" s="308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 t="shared" si="6"/>
        <v>3</v>
      </c>
    </row>
    <row r="397" spans="1:14">
      <c r="A397" s="308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 t="shared" si="6"/>
        <v>5</v>
      </c>
    </row>
    <row r="398" spans="1:14">
      <c r="A398" s="308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 t="shared" si="6"/>
        <v>2</v>
      </c>
    </row>
    <row r="399" spans="1:14">
      <c r="A399" s="308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 t="shared" si="6"/>
        <v>4</v>
      </c>
    </row>
    <row r="400" spans="1:14">
      <c r="A400" s="307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 t="shared" si="6"/>
        <v>1</v>
      </c>
    </row>
    <row r="401" spans="1:14">
      <c r="A401" s="308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 t="shared" si="6"/>
        <v>2</v>
      </c>
    </row>
    <row r="402" spans="1:14">
      <c r="A402" s="307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 t="shared" si="6"/>
        <v>4</v>
      </c>
    </row>
    <row r="403" spans="1:14">
      <c r="A403" s="307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 t="shared" si="6"/>
        <v>6</v>
      </c>
    </row>
    <row r="404" spans="1:14">
      <c r="A404" s="308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 t="shared" si="6"/>
        <v>2</v>
      </c>
    </row>
    <row r="405" spans="1:14">
      <c r="A405" s="308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 t="shared" si="6"/>
        <v>4</v>
      </c>
    </row>
    <row r="406" spans="1:14">
      <c r="A406" s="308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 t="shared" si="6"/>
        <v>3</v>
      </c>
    </row>
    <row r="407" spans="1:14">
      <c r="A407" s="308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 t="shared" si="6"/>
        <v>3</v>
      </c>
    </row>
    <row r="408" spans="1:14">
      <c r="A408" s="307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 t="shared" si="6"/>
        <v>2</v>
      </c>
    </row>
    <row r="409" spans="1:14">
      <c r="A409" s="308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 t="shared" si="6"/>
        <v>2</v>
      </c>
    </row>
    <row r="410" spans="1:14">
      <c r="A410" s="308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 t="shared" si="6"/>
        <v>0</v>
      </c>
    </row>
    <row r="411" spans="1:14">
      <c r="A411" s="307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 t="shared" si="6"/>
        <v>5</v>
      </c>
    </row>
    <row r="412" spans="1:14">
      <c r="A412" s="307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 t="shared" si="6"/>
        <v>1</v>
      </c>
    </row>
    <row r="413" spans="1:14">
      <c r="A413" s="308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 t="shared" si="6"/>
        <v>2</v>
      </c>
    </row>
    <row r="414" spans="1:14">
      <c r="A414" s="308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 t="shared" si="6"/>
        <v>2</v>
      </c>
    </row>
    <row r="415" spans="1:14">
      <c r="A415" s="307" t="str">
        <f>HYPERLINK("http://www.wantgoo.com/stock/chart.aspx?stockno=4426","4426")</f>
        <v>4426</v>
      </c>
      <c r="C415" s="18">
        <f>VLOOKUP(4426,季財報!A:H,3)</f>
        <v>1</v>
      </c>
      <c r="D415" s="18">
        <f>VLOOKUP(4426,季財報!A:H,4)</f>
        <v>1</v>
      </c>
      <c r="E415" s="18">
        <f>VLOOKUP(4426,季財報!A:H,5)</f>
        <v>0</v>
      </c>
      <c r="F415" s="18">
        <f>VLOOKUP(4426,季財報!A:H,6)</f>
        <v>1</v>
      </c>
      <c r="G415" s="18">
        <f>VLOOKUP(4426,季財報!A:H,7)</f>
        <v>1</v>
      </c>
      <c r="N415" s="20">
        <f t="shared" si="6"/>
        <v>4</v>
      </c>
    </row>
    <row r="416" spans="1:14">
      <c r="A416" s="308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 t="shared" si="6"/>
        <v>6</v>
      </c>
    </row>
    <row r="417" spans="1:14">
      <c r="A417" s="308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 t="shared" si="6"/>
        <v>2</v>
      </c>
    </row>
    <row r="418" spans="1:14">
      <c r="A418" s="308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 t="shared" si="6"/>
        <v>1</v>
      </c>
    </row>
    <row r="419" spans="1:14">
      <c r="A419" s="308" t="str">
        <f>HYPERLINK("http://www.wantgoo.com/stock/chart.aspx?stockno=2228","2228")</f>
        <v>2228</v>
      </c>
      <c r="C419" s="18">
        <f>VLOOKUP(2228,季財報!A:H,3)</f>
        <v>1</v>
      </c>
      <c r="D419" s="18">
        <f>VLOOKUP(2228,季財報!A:H,4)</f>
        <v>1</v>
      </c>
      <c r="E419" s="18">
        <f>VLOOKUP(2228,季財報!A:H,5)</f>
        <v>1</v>
      </c>
      <c r="F419" s="18">
        <f>VLOOKUP(2228,季財報!A:H,6)</f>
        <v>1</v>
      </c>
      <c r="G419" s="18">
        <f>VLOOKUP(2228,季財報!A:H,7)</f>
        <v>0</v>
      </c>
      <c r="N419" s="20">
        <f t="shared" si="6"/>
        <v>4</v>
      </c>
    </row>
    <row r="420" spans="1:14">
      <c r="A420" s="307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 t="shared" si="6"/>
        <v>4</v>
      </c>
    </row>
    <row r="421" spans="1:14">
      <c r="A421" s="307" t="str">
        <f>HYPERLINK("http://www.wantgoo.com/stock/chart.aspx?stockno=8433","8433")</f>
        <v>8433</v>
      </c>
      <c r="C421" s="18">
        <f>VLOOKUP(8433,季財報!A:H,3)</f>
        <v>1</v>
      </c>
      <c r="D421" s="18">
        <f>VLOOKUP(8433,季財報!A:H,4)</f>
        <v>1</v>
      </c>
      <c r="E421" s="18">
        <f>VLOOKUP(8433,季財報!A:H,5)</f>
        <v>0</v>
      </c>
      <c r="F421" s="18">
        <f>VLOOKUP(8433,季財報!A:H,6)</f>
        <v>1</v>
      </c>
      <c r="G421" s="18">
        <f>VLOOKUP(8433,季財報!A:H,7)</f>
        <v>1</v>
      </c>
      <c r="N421" s="20">
        <f t="shared" si="6"/>
        <v>4</v>
      </c>
    </row>
    <row r="422" spans="1:14">
      <c r="A422" s="307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 t="shared" si="6"/>
        <v>3</v>
      </c>
    </row>
    <row r="423" spans="1:14">
      <c r="A423" s="307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 t="shared" si="6"/>
        <v>3</v>
      </c>
    </row>
    <row r="424" spans="1:14">
      <c r="A424" s="308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 t="shared" si="6"/>
        <v>2</v>
      </c>
    </row>
    <row r="425" spans="1:14">
      <c r="A425" s="307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 t="shared" si="6"/>
        <v>5</v>
      </c>
    </row>
    <row r="426" spans="1:14">
      <c r="A426" s="307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 t="shared" si="6"/>
        <v>4</v>
      </c>
    </row>
    <row r="427" spans="1:14">
      <c r="A427" s="308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 t="shared" si="6"/>
        <v>2</v>
      </c>
    </row>
    <row r="428" spans="1:14">
      <c r="A428" s="308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 t="shared" si="6"/>
        <v>2</v>
      </c>
    </row>
    <row r="429" spans="1:14">
      <c r="A429" s="307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 t="shared" si="6"/>
        <v>1</v>
      </c>
    </row>
    <row r="430" spans="1:14">
      <c r="A430" s="308" t="str">
        <f>HYPERLINK("http://www.wantgoo.com/stock/chart.aspx?stockno=1565","1565")</f>
        <v>1565</v>
      </c>
      <c r="C430" s="18">
        <f>VLOOKUP(1565,季財報!A:H,3)</f>
        <v>1</v>
      </c>
      <c r="D430" s="18">
        <f>VLOOKUP(1565,季財報!A:H,4)</f>
        <v>1</v>
      </c>
      <c r="E430" s="18">
        <f>VLOOKUP(1565,季財報!A:H,5)</f>
        <v>2</v>
      </c>
      <c r="F430" s="18">
        <f>VLOOKUP(1565,季財報!A:H,6)</f>
        <v>1</v>
      </c>
      <c r="G430" s="18">
        <f>VLOOKUP(1565,季財報!A:H,7)</f>
        <v>0</v>
      </c>
      <c r="N430" s="20">
        <f t="shared" si="6"/>
        <v>5</v>
      </c>
    </row>
    <row r="431" spans="1:14">
      <c r="A431" s="307" t="str">
        <f>HYPERLINK("http://www.wantgoo.com/stock/chart.aspx?stockno=1477","1477")</f>
        <v>1477</v>
      </c>
      <c r="C431" s="18">
        <f>VLOOKUP(1477,季財報!A:H,3)</f>
        <v>0</v>
      </c>
      <c r="D431" s="18">
        <f>VLOOKUP(1477,季財報!A:H,4)</f>
        <v>1</v>
      </c>
      <c r="E431" s="18">
        <f>VLOOKUP(1477,季財報!A:H,5)</f>
        <v>2</v>
      </c>
      <c r="F431" s="18">
        <f>VLOOKUP(1477,季財報!A:H,6)</f>
        <v>1</v>
      </c>
      <c r="G431" s="18">
        <f>VLOOKUP(1477,季財報!A:H,7)</f>
        <v>0</v>
      </c>
      <c r="N431" s="20">
        <f t="shared" si="6"/>
        <v>4</v>
      </c>
    </row>
    <row r="432" spans="1:14">
      <c r="A432" s="308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 t="shared" si="6"/>
        <v>2</v>
      </c>
    </row>
    <row r="433" spans="1:14">
      <c r="A433" s="308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 t="shared" si="6"/>
        <v>1</v>
      </c>
    </row>
    <row r="434" spans="1:14">
      <c r="A434" s="308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 t="shared" si="6"/>
        <v>2</v>
      </c>
    </row>
    <row r="435" spans="1:14">
      <c r="A435" s="308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 t="shared" si="6"/>
        <v>3</v>
      </c>
    </row>
    <row r="436" spans="1:14">
      <c r="A436" s="308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 t="shared" si="6"/>
        <v>2</v>
      </c>
    </row>
    <row r="437" spans="1:14">
      <c r="A437" s="307" t="str">
        <f>HYPERLINK("http://www.wantgoo.com/stock/chart.aspx?stockno=3152","3152")</f>
        <v>3152</v>
      </c>
      <c r="C437" s="18">
        <f>VLOOKUP(3152,季財報!A:H,3)</f>
        <v>1</v>
      </c>
      <c r="D437" s="18">
        <f>VLOOKUP(3152,季財報!A:H,4)</f>
        <v>1</v>
      </c>
      <c r="E437" s="18">
        <f>VLOOKUP(3152,季財報!A:H,5)</f>
        <v>1</v>
      </c>
      <c r="F437" s="18">
        <f>VLOOKUP(3152,季財報!A:H,6)</f>
        <v>1</v>
      </c>
      <c r="G437" s="18">
        <f>VLOOKUP(3152,季財報!A:H,7)</f>
        <v>1</v>
      </c>
      <c r="N437" s="20">
        <f t="shared" si="6"/>
        <v>5</v>
      </c>
    </row>
    <row r="438" spans="1:14">
      <c r="A438" s="308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 t="shared" si="6"/>
        <v>2</v>
      </c>
    </row>
    <row r="439" spans="1:14">
      <c r="A439" s="308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 t="shared" si="6"/>
        <v>1</v>
      </c>
    </row>
    <row r="440" spans="1:14">
      <c r="A440" s="308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 t="shared" si="6"/>
        <v>1</v>
      </c>
    </row>
    <row r="441" spans="1:14">
      <c r="A441" s="308" t="str">
        <f>HYPERLINK("http://www.wantgoo.com/stock/chart.aspx?stockno=1589","1589")</f>
        <v>1589</v>
      </c>
      <c r="C441" s="18">
        <f>VLOOKUP(1589,季財報!A:H,3)</f>
        <v>1</v>
      </c>
      <c r="D441" s="18">
        <f>VLOOKUP(1589,季財報!A:H,4)</f>
        <v>1</v>
      </c>
      <c r="E441" s="18">
        <f>VLOOKUP(1589,季財報!A:H,5)</f>
        <v>0</v>
      </c>
      <c r="F441" s="18">
        <f>VLOOKUP(1589,季財報!A:H,6)</f>
        <v>1</v>
      </c>
      <c r="G441" s="18">
        <f>VLOOKUP(1589,季財報!A:H,7)</f>
        <v>1</v>
      </c>
      <c r="N441" s="20">
        <f t="shared" si="6"/>
        <v>4</v>
      </c>
    </row>
    <row r="442" spans="1:14">
      <c r="A442" s="308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 t="shared" si="6"/>
        <v>3</v>
      </c>
    </row>
    <row r="443" spans="1:14">
      <c r="A443" s="308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 t="shared" si="6"/>
        <v>3</v>
      </c>
    </row>
    <row r="444" spans="1:14">
      <c r="A444" s="307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 t="shared" si="6"/>
        <v>1</v>
      </c>
    </row>
    <row r="445" spans="1:14">
      <c r="A445" s="308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 t="shared" si="6"/>
        <v>3</v>
      </c>
    </row>
    <row r="446" spans="1:14">
      <c r="A446" s="308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 t="shared" si="6"/>
        <v>3</v>
      </c>
    </row>
    <row r="447" spans="1:14">
      <c r="A447" s="307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 t="shared" si="6"/>
        <v>2</v>
      </c>
    </row>
    <row r="448" spans="1:14">
      <c r="A448" s="308" t="str">
        <f>HYPERLINK("http://www.wantgoo.com/stock/chart.aspx?stockno=3479","3479")</f>
        <v>3479</v>
      </c>
      <c r="C448" s="18">
        <f>VLOOKUP(3479,季財報!A:H,3)</f>
        <v>1</v>
      </c>
      <c r="D448" s="18">
        <f>VLOOKUP(3479,季財報!A:H,4)</f>
        <v>1</v>
      </c>
      <c r="E448" s="18">
        <f>VLOOKUP(3479,季財報!A:H,5)</f>
        <v>2</v>
      </c>
      <c r="F448" s="18">
        <f>VLOOKUP(3479,季財報!A:H,6)</f>
        <v>1</v>
      </c>
      <c r="G448" s="18">
        <f>VLOOKUP(3479,季財報!A:H,7)</f>
        <v>1</v>
      </c>
      <c r="N448" s="20">
        <f t="shared" si="6"/>
        <v>6</v>
      </c>
    </row>
    <row r="449" spans="1:19">
      <c r="A449" s="307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 t="shared" si="6"/>
        <v>3</v>
      </c>
    </row>
    <row r="450" spans="1:19">
      <c r="A450" s="307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 t="shared" si="6"/>
        <v>4</v>
      </c>
    </row>
    <row r="451" spans="1:19">
      <c r="A451" s="307" t="str">
        <f>HYPERLINK("http://www.wantgoo.com/stock/chart.aspx?stockno=1707","1707")</f>
        <v>1707</v>
      </c>
      <c r="C451" s="18">
        <f>VLOOKUP(1707,季財報!A:H,3)</f>
        <v>0</v>
      </c>
      <c r="D451" s="18">
        <f>VLOOKUP(1707,季財報!A:H,4)</f>
        <v>1</v>
      </c>
      <c r="E451" s="18">
        <f>VLOOKUP(1707,季財報!A:H,5)</f>
        <v>0</v>
      </c>
      <c r="F451" s="18">
        <f>VLOOKUP(1707,季財報!A:H,6)</f>
        <v>0</v>
      </c>
      <c r="G451" s="18">
        <f>VLOOKUP(1707,季財報!A:H,7)</f>
        <v>1</v>
      </c>
      <c r="N451" s="20">
        <f t="shared" si="6"/>
        <v>2</v>
      </c>
    </row>
    <row r="452" spans="1:19">
      <c r="A452" s="308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 t="shared" ref="N452:N515" si="7">SUM(C452:M452)</f>
        <v>2</v>
      </c>
    </row>
    <row r="453" spans="1:19">
      <c r="A453" s="308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 t="shared" si="7"/>
        <v>5</v>
      </c>
    </row>
    <row r="454" spans="1:19">
      <c r="A454" s="308" t="str">
        <f>HYPERLINK("http://www.wantgoo.com/stock/chart.aspx?stockno=3665","3665")</f>
        <v>3665</v>
      </c>
      <c r="C454" s="18">
        <f>VLOOKUP(3665,季財報!A:H,3)</f>
        <v>1</v>
      </c>
      <c r="D454" s="18">
        <f>VLOOKUP(3665,季財報!A:H,4)</f>
        <v>1</v>
      </c>
      <c r="E454" s="18">
        <f>VLOOKUP(3665,季財報!A:H,5)</f>
        <v>0</v>
      </c>
      <c r="F454" s="18">
        <f>VLOOKUP(3665,季財報!A:H,6)</f>
        <v>1</v>
      </c>
      <c r="G454" s="18">
        <f>VLOOKUP(3665,季財報!A:H,7)</f>
        <v>0</v>
      </c>
      <c r="N454" s="20">
        <f t="shared" si="7"/>
        <v>3</v>
      </c>
    </row>
    <row r="455" spans="1:19">
      <c r="A455" s="308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 t="shared" si="7"/>
        <v>2</v>
      </c>
    </row>
    <row r="456" spans="1:19">
      <c r="A456" s="308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 t="shared" si="7"/>
        <v>1</v>
      </c>
    </row>
    <row r="457" spans="1:19">
      <c r="A457" s="307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 t="shared" si="7"/>
        <v>2</v>
      </c>
    </row>
    <row r="458" spans="1:19">
      <c r="A458" s="308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 t="shared" si="7"/>
        <v>2</v>
      </c>
    </row>
    <row r="459" spans="1:19">
      <c r="A459" s="307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 t="shared" si="7"/>
        <v>3</v>
      </c>
    </row>
    <row r="460" spans="1:19">
      <c r="A460" s="308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 t="shared" si="7"/>
        <v>4</v>
      </c>
    </row>
    <row r="461" spans="1:19" s="317" customFormat="1">
      <c r="A461" s="309" t="str">
        <f>HYPERLINK("http://www.wantgoo.com/stock/chart.aspx?stockno=3044","3044")</f>
        <v>3044</v>
      </c>
      <c r="B461" s="310"/>
      <c r="C461" s="311">
        <f>VLOOKUP(3044,季財報!A:H,3)</f>
        <v>1</v>
      </c>
      <c r="D461" s="311">
        <f>VLOOKUP(3044,季財報!A:H,4)</f>
        <v>1</v>
      </c>
      <c r="E461" s="311">
        <f>VLOOKUP(3044,季財報!A:H,5)</f>
        <v>2</v>
      </c>
      <c r="F461" s="311">
        <f>VLOOKUP(3044,季財報!A:H,6)</f>
        <v>1</v>
      </c>
      <c r="G461" s="311">
        <f>VLOOKUP(3044,季財報!A:H,7)</f>
        <v>0</v>
      </c>
      <c r="H461" s="312"/>
      <c r="I461" s="312"/>
      <c r="J461" s="312"/>
      <c r="K461" s="312"/>
      <c r="L461" s="312"/>
      <c r="M461" s="313"/>
      <c r="N461" s="312">
        <f t="shared" si="7"/>
        <v>5</v>
      </c>
      <c r="O461" s="314"/>
      <c r="P461" s="314"/>
      <c r="Q461" s="314"/>
      <c r="R461" s="314"/>
      <c r="S461" s="315"/>
    </row>
    <row r="462" spans="1:19">
      <c r="A462" s="308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 t="shared" si="7"/>
        <v>4</v>
      </c>
    </row>
    <row r="463" spans="1:19">
      <c r="A463" s="307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 t="shared" si="7"/>
        <v>1</v>
      </c>
    </row>
    <row r="464" spans="1:19">
      <c r="A464" s="308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 t="shared" si="7"/>
        <v>5</v>
      </c>
    </row>
    <row r="465" spans="1:19">
      <c r="A465" s="307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 t="shared" si="7"/>
        <v>1</v>
      </c>
    </row>
    <row r="466" spans="1:19">
      <c r="A466" s="307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 t="shared" si="7"/>
        <v>4</v>
      </c>
    </row>
    <row r="467" spans="1:19">
      <c r="A467" s="308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 t="shared" si="7"/>
        <v>3</v>
      </c>
    </row>
    <row r="468" spans="1:19">
      <c r="A468" s="307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 t="shared" si="7"/>
        <v>1</v>
      </c>
    </row>
    <row r="469" spans="1:19">
      <c r="A469" s="308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 t="shared" si="7"/>
        <v>1</v>
      </c>
    </row>
    <row r="470" spans="1:19">
      <c r="A470" s="307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 t="shared" si="7"/>
        <v>4</v>
      </c>
    </row>
    <row r="471" spans="1:19">
      <c r="A471" s="308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 t="shared" si="7"/>
        <v>2</v>
      </c>
    </row>
    <row r="472" spans="1:19">
      <c r="A472" s="307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 t="shared" si="7"/>
        <v>2</v>
      </c>
    </row>
    <row r="473" spans="1:19">
      <c r="A473" s="308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 t="shared" si="7"/>
        <v>4</v>
      </c>
    </row>
    <row r="474" spans="1:19">
      <c r="A474" s="308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 t="shared" si="7"/>
        <v>2</v>
      </c>
    </row>
    <row r="475" spans="1:19">
      <c r="A475" s="308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 t="shared" si="7"/>
        <v>3</v>
      </c>
    </row>
    <row r="476" spans="1:19">
      <c r="A476" s="307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 t="shared" si="7"/>
        <v>4</v>
      </c>
    </row>
    <row r="477" spans="1:19">
      <c r="A477" s="308" t="str">
        <f>HYPERLINK("http://www.wantgoo.com/stock/chart.aspx?stockno=1525","1525")</f>
        <v>1525</v>
      </c>
      <c r="C477" s="18">
        <f>VLOOKUP(1525,季財報!A:H,3)</f>
        <v>0</v>
      </c>
      <c r="D477" s="18">
        <f>VLOOKUP(1525,季財報!A:H,4)</f>
        <v>1</v>
      </c>
      <c r="E477" s="18">
        <f>VLOOKUP(1525,季財報!A:H,5)</f>
        <v>0</v>
      </c>
      <c r="F477" s="18">
        <f>VLOOKUP(1525,季財報!A:H,6)</f>
        <v>0</v>
      </c>
      <c r="G477" s="18">
        <f>VLOOKUP(1525,季財報!A:H,7)</f>
        <v>0</v>
      </c>
      <c r="N477" s="20">
        <f t="shared" si="7"/>
        <v>1</v>
      </c>
    </row>
    <row r="478" spans="1:19">
      <c r="A478" s="308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 t="shared" si="7"/>
        <v>2</v>
      </c>
    </row>
    <row r="479" spans="1:19" s="317" customFormat="1">
      <c r="A479" s="309" t="str">
        <f>HYPERLINK("http://www.wantgoo.com/stock/chart.aspx?stockno=1788","1788")</f>
        <v>1788</v>
      </c>
      <c r="B479" s="310"/>
      <c r="C479" s="311">
        <f>VLOOKUP(1788,季財報!A:H,3)</f>
        <v>0</v>
      </c>
      <c r="D479" s="311">
        <f>VLOOKUP(1788,季財報!A:H,4)</f>
        <v>0</v>
      </c>
      <c r="E479" s="311">
        <f>VLOOKUP(1788,季財報!A:H,5)</f>
        <v>0</v>
      </c>
      <c r="F479" s="311">
        <f>VLOOKUP(1788,季財報!A:H,6)</f>
        <v>1</v>
      </c>
      <c r="G479" s="311">
        <f>VLOOKUP(1788,季財報!A:H,7)</f>
        <v>0</v>
      </c>
      <c r="H479" s="312"/>
      <c r="I479" s="312"/>
      <c r="J479" s="312"/>
      <c r="K479" s="312"/>
      <c r="L479" s="312"/>
      <c r="M479" s="313"/>
      <c r="N479" s="312">
        <f t="shared" si="7"/>
        <v>1</v>
      </c>
      <c r="O479" s="314"/>
      <c r="P479" s="314"/>
      <c r="Q479" s="314"/>
      <c r="R479" s="314"/>
      <c r="S479" s="315"/>
    </row>
    <row r="480" spans="1:19">
      <c r="A480" s="308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 t="shared" si="7"/>
        <v>6</v>
      </c>
    </row>
    <row r="481" spans="1:14">
      <c r="A481" s="307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 t="shared" si="7"/>
        <v>2</v>
      </c>
    </row>
    <row r="482" spans="1:14">
      <c r="A482" s="307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 t="shared" si="7"/>
        <v>2</v>
      </c>
    </row>
    <row r="483" spans="1:14">
      <c r="A483" s="308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 t="shared" si="7"/>
        <v>6</v>
      </c>
    </row>
    <row r="484" spans="1:14">
      <c r="A484" s="307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 t="shared" si="7"/>
        <v>2</v>
      </c>
    </row>
    <row r="485" spans="1:14">
      <c r="A485" s="308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 t="shared" si="7"/>
        <v>1</v>
      </c>
    </row>
    <row r="486" spans="1:14">
      <c r="A486" s="307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 t="shared" si="7"/>
        <v>2</v>
      </c>
    </row>
    <row r="487" spans="1:14">
      <c r="A487" s="308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 t="shared" si="7"/>
        <v>3</v>
      </c>
    </row>
    <row r="488" spans="1:14">
      <c r="A488" s="307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 t="shared" si="7"/>
        <v>4</v>
      </c>
    </row>
    <row r="489" spans="1:14">
      <c r="A489" s="308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 t="shared" si="7"/>
        <v>1</v>
      </c>
    </row>
    <row r="490" spans="1:14">
      <c r="A490" s="307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 t="shared" si="7"/>
        <v>3</v>
      </c>
    </row>
    <row r="491" spans="1:14">
      <c r="A491" s="307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 t="shared" si="7"/>
        <v>3</v>
      </c>
    </row>
    <row r="492" spans="1:14">
      <c r="A492" s="307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 t="shared" si="7"/>
        <v>2</v>
      </c>
    </row>
    <row r="493" spans="1:14">
      <c r="A493" s="307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 t="shared" si="7"/>
        <v>2</v>
      </c>
    </row>
    <row r="494" spans="1:14">
      <c r="A494" s="307" t="str">
        <f>HYPERLINK("http://www.wantgoo.com/stock/chart.aspx?stockno=1227","1227")</f>
        <v>1227</v>
      </c>
      <c r="C494" s="18">
        <f>VLOOKUP(1227,季財報!A:H,3)</f>
        <v>0</v>
      </c>
      <c r="D494" s="18">
        <f>VLOOKUP(1227,季財報!A:H,4)</f>
        <v>1</v>
      </c>
      <c r="E494" s="18">
        <f>VLOOKUP(1227,季財報!A:H,5)</f>
        <v>2</v>
      </c>
      <c r="F494" s="18">
        <f>VLOOKUP(1227,季財報!A:H,6)</f>
        <v>1</v>
      </c>
      <c r="G494" s="18">
        <f>VLOOKUP(1227,季財報!A:H,7)</f>
        <v>0</v>
      </c>
      <c r="N494" s="20">
        <f t="shared" si="7"/>
        <v>4</v>
      </c>
    </row>
    <row r="495" spans="1:14">
      <c r="A495" s="308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 t="shared" si="7"/>
        <v>3</v>
      </c>
    </row>
    <row r="496" spans="1:14">
      <c r="A496" s="307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 t="shared" si="7"/>
        <v>2</v>
      </c>
    </row>
    <row r="497" spans="1:14">
      <c r="A497" s="308" t="str">
        <f>HYPERLINK("http://www.wantgoo.com/stock/chart.aspx?stockno=6238","6238")</f>
        <v>6238</v>
      </c>
      <c r="C497" s="18">
        <f>VLOOKUP(6238,季財報!A:H,3)</f>
        <v>1</v>
      </c>
      <c r="D497" s="18">
        <f>VLOOKUP(6238,季財報!A:H,4)</f>
        <v>1</v>
      </c>
      <c r="E497" s="18">
        <f>VLOOKUP(6238,季財報!A:H,5)</f>
        <v>1</v>
      </c>
      <c r="F497" s="18">
        <f>VLOOKUP(6238,季財報!A:H,6)</f>
        <v>1</v>
      </c>
      <c r="G497" s="18">
        <f>VLOOKUP(6238,季財報!A:H,7)</f>
        <v>0</v>
      </c>
      <c r="N497" s="20">
        <f t="shared" si="7"/>
        <v>4</v>
      </c>
    </row>
    <row r="498" spans="1:14">
      <c r="A498" s="307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 t="shared" si="7"/>
        <v>3</v>
      </c>
    </row>
    <row r="499" spans="1:14">
      <c r="A499" s="308" t="str">
        <f>HYPERLINK("http://www.wantgoo.com/stock/chart.aspx?stockno=1476","1476")</f>
        <v>1476</v>
      </c>
      <c r="C499" s="18">
        <f>VLOOKUP(1476,季財報!A:H,3)</f>
        <v>1</v>
      </c>
      <c r="D499" s="18">
        <f>VLOOKUP(1476,季財報!A:H,4)</f>
        <v>1</v>
      </c>
      <c r="E499" s="18">
        <f>VLOOKUP(1476,季財報!A:H,5)</f>
        <v>0</v>
      </c>
      <c r="F499" s="18">
        <f>VLOOKUP(1476,季財報!A:H,6)</f>
        <v>1</v>
      </c>
      <c r="G499" s="18">
        <f>VLOOKUP(1476,季財報!A:H,7)</f>
        <v>0</v>
      </c>
      <c r="N499" s="20">
        <f t="shared" si="7"/>
        <v>3</v>
      </c>
    </row>
    <row r="500" spans="1:14">
      <c r="A500" s="307" t="str">
        <f>HYPERLINK("http://www.wantgoo.com/stock/chart.aspx?stockno=3045","3045")</f>
        <v>3045</v>
      </c>
      <c r="C500" s="18">
        <f>VLOOKUP(3045,季財報!A:H,3)</f>
        <v>1</v>
      </c>
      <c r="D500" s="18">
        <f>VLOOKUP(3045,季財報!A:H,4)</f>
        <v>1</v>
      </c>
      <c r="E500" s="18">
        <f>VLOOKUP(3045,季財報!A:H,5)</f>
        <v>1</v>
      </c>
      <c r="F500" s="18">
        <f>VLOOKUP(3045,季財報!A:H,6)</f>
        <v>1</v>
      </c>
      <c r="G500" s="18">
        <f>VLOOKUP(3045,季財報!A:H,7)</f>
        <v>0</v>
      </c>
      <c r="N500" s="20">
        <f t="shared" si="7"/>
        <v>4</v>
      </c>
    </row>
    <row r="501" spans="1:14">
      <c r="A501" s="307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 t="shared" si="7"/>
        <v>1</v>
      </c>
    </row>
    <row r="502" spans="1:14">
      <c r="A502" s="308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 t="shared" si="7"/>
        <v>4</v>
      </c>
    </row>
    <row r="503" spans="1:14">
      <c r="A503" s="307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 t="shared" si="7"/>
        <v>2</v>
      </c>
    </row>
    <row r="504" spans="1:14">
      <c r="A504" s="307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 t="shared" si="7"/>
        <v>3</v>
      </c>
    </row>
    <row r="505" spans="1:14">
      <c r="A505" s="308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 t="shared" si="7"/>
        <v>5</v>
      </c>
    </row>
    <row r="506" spans="1:14">
      <c r="A506" s="308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 t="shared" si="7"/>
        <v>1</v>
      </c>
    </row>
    <row r="507" spans="1:14">
      <c r="A507" s="307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 t="shared" si="7"/>
        <v>3</v>
      </c>
    </row>
    <row r="508" spans="1:14">
      <c r="A508" s="308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 t="shared" si="7"/>
        <v>4</v>
      </c>
    </row>
    <row r="509" spans="1:14">
      <c r="A509" s="308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 t="shared" si="7"/>
        <v>3</v>
      </c>
    </row>
    <row r="510" spans="1:14">
      <c r="A510" s="308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 t="shared" si="7"/>
        <v>2</v>
      </c>
    </row>
    <row r="511" spans="1:14">
      <c r="A511" s="308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 t="shared" si="7"/>
        <v>3</v>
      </c>
    </row>
    <row r="512" spans="1:14">
      <c r="A512" s="308" t="str">
        <f>HYPERLINK("http://www.wantgoo.com/stock/chart.aspx?stockno=2729","2729")</f>
        <v>2729</v>
      </c>
      <c r="C512" s="18">
        <f>VLOOKUP(2729,季財報!A:H,3)</f>
        <v>0</v>
      </c>
      <c r="D512" s="18">
        <f>VLOOKUP(2729,季財報!A:H,4)</f>
        <v>0</v>
      </c>
      <c r="E512" s="18">
        <f>VLOOKUP(2729,季財報!A:H,5)</f>
        <v>1</v>
      </c>
      <c r="F512" s="18">
        <f>VLOOKUP(2729,季財報!A:H,6)</f>
        <v>1</v>
      </c>
      <c r="G512" s="18">
        <f>VLOOKUP(2729,季財報!A:H,7)</f>
        <v>0</v>
      </c>
      <c r="N512" s="20">
        <f t="shared" si="7"/>
        <v>2</v>
      </c>
    </row>
    <row r="513" spans="1:19">
      <c r="A513" s="307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 t="shared" si="7"/>
        <v>2</v>
      </c>
    </row>
    <row r="514" spans="1:19">
      <c r="A514" s="307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 t="shared" si="7"/>
        <v>1</v>
      </c>
    </row>
    <row r="515" spans="1:19">
      <c r="A515" s="308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 t="shared" si="7"/>
        <v>3</v>
      </c>
    </row>
    <row r="516" spans="1:19">
      <c r="A516" s="307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 t="shared" ref="N516:N579" si="8">SUM(C516:M516)</f>
        <v>2</v>
      </c>
    </row>
    <row r="517" spans="1:19">
      <c r="A517" s="307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 t="shared" si="8"/>
        <v>1</v>
      </c>
    </row>
    <row r="518" spans="1:19">
      <c r="A518" s="308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 t="shared" si="8"/>
        <v>1</v>
      </c>
    </row>
    <row r="519" spans="1:19" s="317" customFormat="1">
      <c r="A519" s="309" t="str">
        <f>HYPERLINK("http://www.wantgoo.com/stock/chart.aspx?stockno=4919","4919")</f>
        <v>4919</v>
      </c>
      <c r="B519" s="310"/>
      <c r="C519" s="311">
        <f>VLOOKUP(4919,季財報!A:H,3)</f>
        <v>0</v>
      </c>
      <c r="D519" s="311">
        <f>VLOOKUP(4919,季財報!A:H,4)</f>
        <v>1</v>
      </c>
      <c r="E519" s="311">
        <f>VLOOKUP(4919,季財報!A:H,5)</f>
        <v>0</v>
      </c>
      <c r="F519" s="311">
        <f>VLOOKUP(4919,季財報!A:H,6)</f>
        <v>0</v>
      </c>
      <c r="G519" s="311">
        <f>VLOOKUP(4919,季財報!A:H,7)</f>
        <v>0</v>
      </c>
      <c r="H519" s="312"/>
      <c r="I519" s="312"/>
      <c r="J519" s="312"/>
      <c r="K519" s="312"/>
      <c r="L519" s="312"/>
      <c r="M519" s="313"/>
      <c r="N519" s="312">
        <f t="shared" si="8"/>
        <v>1</v>
      </c>
      <c r="O519" s="314"/>
      <c r="P519" s="314"/>
      <c r="Q519" s="314"/>
      <c r="R519" s="314"/>
      <c r="S519" s="315"/>
    </row>
    <row r="520" spans="1:19">
      <c r="A520" s="307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 t="shared" si="8"/>
        <v>3</v>
      </c>
    </row>
    <row r="521" spans="1:19">
      <c r="A521" s="308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 t="shared" si="8"/>
        <v>1</v>
      </c>
    </row>
    <row r="522" spans="1:19">
      <c r="A522" s="307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 t="shared" si="8"/>
        <v>4</v>
      </c>
    </row>
    <row r="523" spans="1:19">
      <c r="A523" s="307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 t="shared" si="8"/>
        <v>5</v>
      </c>
    </row>
    <row r="524" spans="1:19">
      <c r="A524" s="307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 t="shared" si="8"/>
        <v>1</v>
      </c>
    </row>
    <row r="525" spans="1:19">
      <c r="A525" s="307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 t="shared" si="8"/>
        <v>3</v>
      </c>
    </row>
    <row r="526" spans="1:19">
      <c r="A526" s="308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 t="shared" si="8"/>
        <v>4</v>
      </c>
    </row>
    <row r="527" spans="1:19">
      <c r="A527" s="308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 t="shared" si="8"/>
        <v>1</v>
      </c>
    </row>
    <row r="528" spans="1:19">
      <c r="A528" s="307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 t="shared" si="8"/>
        <v>3</v>
      </c>
    </row>
    <row r="529" spans="1:14">
      <c r="A529" s="307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 t="shared" si="8"/>
        <v>5</v>
      </c>
    </row>
    <row r="530" spans="1:14">
      <c r="A530" s="307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 t="shared" si="8"/>
        <v>2</v>
      </c>
    </row>
    <row r="531" spans="1:14">
      <c r="A531" s="308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 t="shared" si="8"/>
        <v>2</v>
      </c>
    </row>
    <row r="532" spans="1:14">
      <c r="A532" s="308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 t="shared" si="8"/>
        <v>3</v>
      </c>
    </row>
    <row r="533" spans="1:14">
      <c r="A533" s="307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 t="shared" si="8"/>
        <v>1</v>
      </c>
    </row>
    <row r="534" spans="1:14">
      <c r="A534" s="308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 t="shared" si="8"/>
        <v>3</v>
      </c>
    </row>
    <row r="535" spans="1:14">
      <c r="A535" s="307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 t="shared" si="8"/>
        <v>0</v>
      </c>
    </row>
    <row r="536" spans="1:14">
      <c r="A536" s="307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 t="shared" si="8"/>
        <v>5</v>
      </c>
    </row>
    <row r="537" spans="1:14">
      <c r="A537" s="308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 t="shared" si="8"/>
        <v>5</v>
      </c>
    </row>
    <row r="538" spans="1:14">
      <c r="A538" s="307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 t="shared" si="8"/>
        <v>3</v>
      </c>
    </row>
    <row r="539" spans="1:14">
      <c r="A539" s="307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 t="shared" si="8"/>
        <v>2</v>
      </c>
    </row>
    <row r="540" spans="1:14">
      <c r="A540" s="308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 t="shared" si="8"/>
        <v>2</v>
      </c>
    </row>
    <row r="541" spans="1:14">
      <c r="A541" s="308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 t="shared" si="8"/>
        <v>3</v>
      </c>
    </row>
    <row r="542" spans="1:14">
      <c r="A542" s="308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 t="shared" si="8"/>
        <v>4</v>
      </c>
    </row>
    <row r="543" spans="1:14">
      <c r="A543" s="308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 t="shared" si="8"/>
        <v>3</v>
      </c>
    </row>
    <row r="544" spans="1:14">
      <c r="A544" s="308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 t="shared" si="8"/>
        <v>1</v>
      </c>
    </row>
    <row r="545" spans="1:14">
      <c r="A545" s="307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 t="shared" si="8"/>
        <v>5</v>
      </c>
    </row>
    <row r="546" spans="1:14">
      <c r="A546" s="308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 t="shared" si="8"/>
        <v>2</v>
      </c>
    </row>
    <row r="547" spans="1:14">
      <c r="A547" s="307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 t="shared" si="8"/>
        <v>2</v>
      </c>
    </row>
    <row r="548" spans="1:14">
      <c r="A548" s="308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 t="shared" si="8"/>
        <v>2</v>
      </c>
    </row>
    <row r="549" spans="1:14">
      <c r="A549" s="307" t="str">
        <f>HYPERLINK("http://www.wantgoo.com/stock/chart.aspx?stockno=2395","2395")</f>
        <v>2395</v>
      </c>
      <c r="C549" s="18">
        <f>VLOOKUP(2395,季財報!A:H,3)</f>
        <v>0</v>
      </c>
      <c r="D549" s="18">
        <f>VLOOKUP(2395,季財報!A:H,4)</f>
        <v>0</v>
      </c>
      <c r="E549" s="18">
        <f>VLOOKUP(2395,季財報!A:H,5)</f>
        <v>0</v>
      </c>
      <c r="F549" s="18">
        <f>VLOOKUP(2395,季財報!A:H,6)</f>
        <v>1</v>
      </c>
      <c r="G549" s="18">
        <f>VLOOKUP(2395,季財報!A:H,7)</f>
        <v>0</v>
      </c>
      <c r="N549" s="20">
        <f t="shared" si="8"/>
        <v>1</v>
      </c>
    </row>
    <row r="550" spans="1:14">
      <c r="A550" s="307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 t="shared" si="8"/>
        <v>3</v>
      </c>
    </row>
    <row r="551" spans="1:14">
      <c r="A551" s="308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 t="shared" si="8"/>
        <v>2</v>
      </c>
    </row>
    <row r="552" spans="1:14">
      <c r="A552" s="307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 t="shared" si="8"/>
        <v>3</v>
      </c>
    </row>
    <row r="553" spans="1:14">
      <c r="A553" s="308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 t="shared" si="8"/>
        <v>2</v>
      </c>
    </row>
    <row r="554" spans="1:14">
      <c r="A554" s="308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 t="shared" si="8"/>
        <v>2</v>
      </c>
    </row>
    <row r="555" spans="1:14">
      <c r="A555" s="307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 t="shared" si="8"/>
        <v>4</v>
      </c>
    </row>
    <row r="556" spans="1:14">
      <c r="A556" s="307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 t="shared" si="8"/>
        <v>6</v>
      </c>
    </row>
    <row r="557" spans="1:14">
      <c r="A557" s="307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 t="shared" si="8"/>
        <v>2</v>
      </c>
    </row>
    <row r="558" spans="1:14">
      <c r="A558" s="307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 t="shared" si="8"/>
        <v>4</v>
      </c>
    </row>
    <row r="559" spans="1:14">
      <c r="A559" s="308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 t="shared" si="8"/>
        <v>4</v>
      </c>
    </row>
    <row r="560" spans="1:14">
      <c r="A560" s="307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 t="shared" si="8"/>
        <v>2</v>
      </c>
    </row>
    <row r="561" spans="1:19">
      <c r="A561" s="308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 t="shared" si="8"/>
        <v>2</v>
      </c>
    </row>
    <row r="562" spans="1:19">
      <c r="A562" s="308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 t="shared" si="8"/>
        <v>3</v>
      </c>
    </row>
    <row r="563" spans="1:19">
      <c r="A563" s="307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 t="shared" si="8"/>
        <v>3</v>
      </c>
    </row>
    <row r="564" spans="1:19">
      <c r="A564" s="307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 t="shared" si="8"/>
        <v>2</v>
      </c>
    </row>
    <row r="565" spans="1:19">
      <c r="A565" s="307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 t="shared" si="8"/>
        <v>5</v>
      </c>
    </row>
    <row r="566" spans="1:19">
      <c r="A566" s="307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 t="shared" si="8"/>
        <v>2</v>
      </c>
    </row>
    <row r="567" spans="1:19">
      <c r="A567" s="308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 t="shared" si="8"/>
        <v>3</v>
      </c>
    </row>
    <row r="568" spans="1:19">
      <c r="A568" s="307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 t="shared" si="8"/>
        <v>4</v>
      </c>
    </row>
    <row r="569" spans="1:19">
      <c r="A569" s="307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 t="shared" si="8"/>
        <v>1</v>
      </c>
    </row>
    <row r="570" spans="1:19" s="317" customFormat="1">
      <c r="A570" s="309" t="str">
        <f>HYPERLINK("http://www.wantgoo.com/stock/chart.aspx?stockno=2458","2458")</f>
        <v>2458</v>
      </c>
      <c r="B570" s="310"/>
      <c r="C570" s="311">
        <f>VLOOKUP(2458,季財報!A:H,3)</f>
        <v>0</v>
      </c>
      <c r="D570" s="311">
        <f>VLOOKUP(2458,季財報!A:H,4)</f>
        <v>1</v>
      </c>
      <c r="E570" s="311">
        <f>VLOOKUP(2458,季財報!A:H,5)</f>
        <v>0</v>
      </c>
      <c r="F570" s="311">
        <f>VLOOKUP(2458,季財報!A:H,6)</f>
        <v>1</v>
      </c>
      <c r="G570" s="311">
        <f>VLOOKUP(2458,季財報!A:H,7)</f>
        <v>0</v>
      </c>
      <c r="H570" s="312"/>
      <c r="I570" s="312"/>
      <c r="J570" s="312"/>
      <c r="K570" s="312"/>
      <c r="L570" s="312"/>
      <c r="M570" s="313"/>
      <c r="N570" s="312">
        <f t="shared" si="8"/>
        <v>2</v>
      </c>
      <c r="O570" s="314"/>
      <c r="P570" s="314"/>
      <c r="Q570" s="314"/>
      <c r="R570" s="314"/>
      <c r="S570" s="315"/>
    </row>
    <row r="571" spans="1:19">
      <c r="A571" s="308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 t="shared" si="8"/>
        <v>2</v>
      </c>
    </row>
    <row r="572" spans="1:19">
      <c r="A572" s="307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 t="shared" si="8"/>
        <v>4</v>
      </c>
    </row>
    <row r="573" spans="1:19">
      <c r="A573" s="307" t="str">
        <f>HYPERLINK("http://www.wantgoo.com/stock/chart.aspx?stockno=3289","3289")</f>
        <v>3289</v>
      </c>
      <c r="C573" s="18">
        <f>VLOOKUP(3289,季財報!A:H,3)</f>
        <v>0</v>
      </c>
      <c r="D573" s="18">
        <f>VLOOKUP(3289,季財報!A:H,4)</f>
        <v>1</v>
      </c>
      <c r="E573" s="18">
        <f>VLOOKUP(3289,季財報!A:H,5)</f>
        <v>1</v>
      </c>
      <c r="F573" s="18">
        <f>VLOOKUP(3289,季財報!A:H,6)</f>
        <v>1</v>
      </c>
      <c r="G573" s="18">
        <f>VLOOKUP(3289,季財報!A:H,7)</f>
        <v>1</v>
      </c>
      <c r="N573" s="20">
        <f t="shared" si="8"/>
        <v>4</v>
      </c>
    </row>
    <row r="574" spans="1:19">
      <c r="A574" s="307" t="str">
        <f>HYPERLINK("http://www.wantgoo.com/stock/chart.aspx?stockno=6239","6239")</f>
        <v>6239</v>
      </c>
      <c r="C574" s="18">
        <f>VLOOKUP(6239,季財報!A:H,3)</f>
        <v>1</v>
      </c>
      <c r="D574" s="18">
        <f>VLOOKUP(6239,季財報!A:H,4)</f>
        <v>1</v>
      </c>
      <c r="E574" s="18">
        <f>VLOOKUP(6239,季財報!A:H,5)</f>
        <v>1</v>
      </c>
      <c r="F574" s="18">
        <f>VLOOKUP(6239,季財報!A:H,6)</f>
        <v>1</v>
      </c>
      <c r="G574" s="18">
        <f>VLOOKUP(6239,季財報!A:H,7)</f>
        <v>0</v>
      </c>
      <c r="N574" s="20">
        <f t="shared" si="8"/>
        <v>4</v>
      </c>
    </row>
    <row r="575" spans="1:19">
      <c r="A575" s="308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 t="shared" si="8"/>
        <v>3</v>
      </c>
    </row>
    <row r="576" spans="1:19">
      <c r="A576" s="307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 t="shared" si="8"/>
        <v>2</v>
      </c>
    </row>
    <row r="577" spans="1:14">
      <c r="A577" s="308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 t="shared" si="8"/>
        <v>1</v>
      </c>
    </row>
    <row r="578" spans="1:14">
      <c r="A578" s="307" t="str">
        <f>HYPERLINK("http://www.wantgoo.com/stock/chart.aspx?stockno=9921","9921")</f>
        <v>9921</v>
      </c>
      <c r="C578" s="18">
        <f>VLOOKUP(9921,季財報!A:H,3)</f>
        <v>1</v>
      </c>
      <c r="D578" s="18">
        <f>VLOOKUP(9921,季財報!A:H,4)</f>
        <v>1</v>
      </c>
      <c r="E578" s="18">
        <f>VLOOKUP(9921,季財報!A:H,5)</f>
        <v>0</v>
      </c>
      <c r="F578" s="18">
        <f>VLOOKUP(9921,季財報!A:H,6)</f>
        <v>1</v>
      </c>
      <c r="G578" s="18">
        <f>VLOOKUP(9921,季財報!A:H,7)</f>
        <v>0</v>
      </c>
      <c r="N578" s="20">
        <f t="shared" si="8"/>
        <v>3</v>
      </c>
    </row>
    <row r="579" spans="1:14">
      <c r="A579" s="308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 t="shared" si="8"/>
        <v>5</v>
      </c>
    </row>
    <row r="580" spans="1:14">
      <c r="A580" s="308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 t="shared" ref="N580:N643" si="9">SUM(C580:M580)</f>
        <v>2</v>
      </c>
    </row>
    <row r="581" spans="1:14">
      <c r="A581" s="308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 t="shared" si="9"/>
        <v>1</v>
      </c>
    </row>
    <row r="582" spans="1:14">
      <c r="A582" s="308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 t="shared" si="9"/>
        <v>1</v>
      </c>
    </row>
    <row r="583" spans="1:14">
      <c r="A583" s="307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 t="shared" si="9"/>
        <v>1</v>
      </c>
    </row>
    <row r="584" spans="1:14">
      <c r="A584" s="308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 t="shared" si="9"/>
        <v>5</v>
      </c>
    </row>
    <row r="585" spans="1:14">
      <c r="A585" s="308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 t="shared" si="9"/>
        <v>1</v>
      </c>
    </row>
    <row r="586" spans="1:14">
      <c r="A586" s="307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 t="shared" si="9"/>
        <v>0</v>
      </c>
    </row>
    <row r="587" spans="1:14">
      <c r="A587" s="307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 t="shared" si="9"/>
        <v>4</v>
      </c>
    </row>
    <row r="588" spans="1:14">
      <c r="A588" s="307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 t="shared" si="9"/>
        <v>3</v>
      </c>
    </row>
    <row r="589" spans="1:14">
      <c r="A589" s="307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 t="shared" si="9"/>
        <v>4</v>
      </c>
    </row>
    <row r="590" spans="1:14">
      <c r="A590" s="307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 t="shared" si="9"/>
        <v>1</v>
      </c>
    </row>
    <row r="591" spans="1:14">
      <c r="A591" s="308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 t="shared" si="9"/>
        <v>4</v>
      </c>
    </row>
    <row r="592" spans="1:14">
      <c r="A592" s="308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 t="shared" si="9"/>
        <v>3</v>
      </c>
    </row>
    <row r="593" spans="1:14">
      <c r="A593" s="307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 t="shared" si="9"/>
        <v>2</v>
      </c>
    </row>
    <row r="594" spans="1:14">
      <c r="A594" s="307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 t="shared" si="9"/>
        <v>1</v>
      </c>
    </row>
    <row r="595" spans="1:14">
      <c r="A595" s="308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 t="shared" si="9"/>
        <v>1</v>
      </c>
    </row>
    <row r="596" spans="1:14">
      <c r="A596" s="308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 t="shared" si="9"/>
        <v>3</v>
      </c>
    </row>
    <row r="597" spans="1:14">
      <c r="A597" s="308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 t="shared" si="9"/>
        <v>1</v>
      </c>
    </row>
    <row r="598" spans="1:14">
      <c r="A598" s="307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 t="shared" si="9"/>
        <v>3</v>
      </c>
    </row>
    <row r="599" spans="1:14">
      <c r="A599" s="308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 t="shared" si="9"/>
        <v>0</v>
      </c>
    </row>
    <row r="600" spans="1:14">
      <c r="A600" s="308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 t="shared" si="9"/>
        <v>4</v>
      </c>
    </row>
    <row r="601" spans="1:14">
      <c r="A601" s="308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 t="shared" si="9"/>
        <v>2</v>
      </c>
    </row>
    <row r="602" spans="1:14">
      <c r="A602" s="307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 t="shared" si="9"/>
        <v>2</v>
      </c>
    </row>
    <row r="603" spans="1:14">
      <c r="A603" s="307" t="str">
        <f>HYPERLINK("http://www.wantgoo.com/stock/chart.aspx?stockno=4107","4107")</f>
        <v>4107</v>
      </c>
      <c r="C603" s="18">
        <f>VLOOKUP(4107,季財報!A:H,3)</f>
        <v>1</v>
      </c>
      <c r="D603" s="18">
        <f>VLOOKUP(4107,季財報!A:H,4)</f>
        <v>1</v>
      </c>
      <c r="E603" s="18">
        <f>VLOOKUP(4107,季財報!A:H,5)</f>
        <v>0</v>
      </c>
      <c r="F603" s="18">
        <f>VLOOKUP(4107,季財報!A:H,6)</f>
        <v>1</v>
      </c>
      <c r="G603" s="18">
        <f>VLOOKUP(4107,季財報!A:H,7)</f>
        <v>0</v>
      </c>
      <c r="N603" s="20">
        <f t="shared" si="9"/>
        <v>3</v>
      </c>
    </row>
    <row r="604" spans="1:14">
      <c r="A604" s="307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 t="shared" si="9"/>
        <v>3</v>
      </c>
    </row>
    <row r="605" spans="1:14">
      <c r="A605" s="307" t="str">
        <f>HYPERLINK("http://www.wantgoo.com/stock/chart.aspx?stockno=2345","2345")</f>
        <v>2345</v>
      </c>
      <c r="C605" s="18">
        <f>VLOOKUP(2345,季財報!A:H,3)</f>
        <v>1</v>
      </c>
      <c r="D605" s="18">
        <f>VLOOKUP(2345,季財報!A:H,4)</f>
        <v>1</v>
      </c>
      <c r="E605" s="18">
        <f>VLOOKUP(2345,季財報!A:H,5)</f>
        <v>1</v>
      </c>
      <c r="F605" s="18">
        <f>VLOOKUP(2345,季財報!A:H,6)</f>
        <v>1</v>
      </c>
      <c r="G605" s="18">
        <f>VLOOKUP(2345,季財報!A:H,7)</f>
        <v>0</v>
      </c>
      <c r="N605" s="20">
        <f t="shared" si="9"/>
        <v>4</v>
      </c>
    </row>
    <row r="606" spans="1:14">
      <c r="A606" s="307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 t="shared" si="9"/>
        <v>3</v>
      </c>
    </row>
    <row r="607" spans="1:14">
      <c r="A607" s="307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 t="shared" si="9"/>
        <v>1</v>
      </c>
    </row>
    <row r="608" spans="1:14">
      <c r="A608" s="308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 t="shared" si="9"/>
        <v>2</v>
      </c>
    </row>
    <row r="609" spans="1:14">
      <c r="A609" s="308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 t="shared" si="9"/>
        <v>3</v>
      </c>
    </row>
    <row r="610" spans="1:14">
      <c r="A610" s="308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 t="shared" si="9"/>
        <v>2</v>
      </c>
    </row>
    <row r="611" spans="1:14">
      <c r="A611" s="307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 t="shared" si="9"/>
        <v>1</v>
      </c>
    </row>
    <row r="612" spans="1:14">
      <c r="A612" s="308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 t="shared" si="9"/>
        <v>3</v>
      </c>
    </row>
    <row r="613" spans="1:14">
      <c r="A613" s="308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 t="shared" si="9"/>
        <v>1</v>
      </c>
    </row>
    <row r="614" spans="1:14">
      <c r="A614" s="307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 t="shared" si="9"/>
        <v>2</v>
      </c>
    </row>
    <row r="615" spans="1:14">
      <c r="A615" s="307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 t="shared" si="9"/>
        <v>1</v>
      </c>
    </row>
    <row r="616" spans="1:14">
      <c r="A616" s="307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 t="shared" si="9"/>
        <v>3</v>
      </c>
    </row>
    <row r="617" spans="1:14">
      <c r="A617" s="307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 t="shared" si="9"/>
        <v>2</v>
      </c>
    </row>
    <row r="618" spans="1:14">
      <c r="A618" s="307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 t="shared" si="9"/>
        <v>1</v>
      </c>
    </row>
    <row r="619" spans="1:14">
      <c r="A619" s="308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 t="shared" si="9"/>
        <v>4</v>
      </c>
    </row>
    <row r="620" spans="1:14">
      <c r="A620" s="308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 t="shared" si="9"/>
        <v>1</v>
      </c>
    </row>
    <row r="621" spans="1:14">
      <c r="A621" s="308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 t="shared" si="9"/>
        <v>3</v>
      </c>
    </row>
    <row r="622" spans="1:14">
      <c r="A622" s="307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 t="shared" si="9"/>
        <v>2</v>
      </c>
    </row>
    <row r="623" spans="1:14">
      <c r="A623" s="308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 t="shared" si="9"/>
        <v>4</v>
      </c>
    </row>
    <row r="624" spans="1:14">
      <c r="A624" s="308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 t="shared" si="9"/>
        <v>5</v>
      </c>
    </row>
    <row r="625" spans="1:14">
      <c r="A625" s="307" t="str">
        <f>HYPERLINK("http://www.wantgoo.com/stock/chart.aspx?stockno=8436","8436")</f>
        <v>8436</v>
      </c>
      <c r="C625" s="18">
        <f>VLOOKUP(8436,季財報!A:H,3)</f>
        <v>0</v>
      </c>
      <c r="D625" s="18">
        <f>VLOOKUP(8436,季財報!A:H,4)</f>
        <v>0</v>
      </c>
      <c r="E625" s="18">
        <f>VLOOKUP(8436,季財報!A:H,5)</f>
        <v>2</v>
      </c>
      <c r="F625" s="18">
        <f>VLOOKUP(8436,季財報!A:H,6)</f>
        <v>1</v>
      </c>
      <c r="G625" s="18">
        <f>VLOOKUP(8436,季財報!A:H,7)</f>
        <v>1</v>
      </c>
      <c r="N625" s="20">
        <f t="shared" si="9"/>
        <v>4</v>
      </c>
    </row>
    <row r="626" spans="1:14">
      <c r="A626" s="307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 t="shared" si="9"/>
        <v>3</v>
      </c>
    </row>
    <row r="627" spans="1:14">
      <c r="A627" s="307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 t="shared" si="9"/>
        <v>2</v>
      </c>
    </row>
    <row r="628" spans="1:14">
      <c r="A628" s="308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 t="shared" si="9"/>
        <v>3</v>
      </c>
    </row>
    <row r="629" spans="1:14">
      <c r="A629" s="307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 t="shared" si="9"/>
        <v>3</v>
      </c>
    </row>
    <row r="630" spans="1:14">
      <c r="A630" s="307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 t="shared" si="9"/>
        <v>0</v>
      </c>
    </row>
    <row r="631" spans="1:14">
      <c r="A631" s="308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 t="shared" si="9"/>
        <v>5</v>
      </c>
    </row>
    <row r="632" spans="1:14">
      <c r="A632" s="308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 t="shared" si="9"/>
        <v>6</v>
      </c>
    </row>
    <row r="633" spans="1:14">
      <c r="A633" s="307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 t="shared" si="9"/>
        <v>2</v>
      </c>
    </row>
    <row r="634" spans="1:14">
      <c r="A634" s="307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 t="shared" si="9"/>
        <v>4</v>
      </c>
    </row>
    <row r="635" spans="1:14">
      <c r="A635" s="308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 t="shared" si="9"/>
        <v>3</v>
      </c>
    </row>
    <row r="636" spans="1:14">
      <c r="A636" s="308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 t="shared" si="9"/>
        <v>3</v>
      </c>
    </row>
    <row r="637" spans="1:14">
      <c r="A637" s="307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 t="shared" si="9"/>
        <v>2</v>
      </c>
    </row>
    <row r="638" spans="1:14">
      <c r="A638" s="307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 t="shared" si="9"/>
        <v>1</v>
      </c>
    </row>
    <row r="639" spans="1:14">
      <c r="A639" s="307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 t="shared" si="9"/>
        <v>3</v>
      </c>
    </row>
    <row r="640" spans="1:14">
      <c r="A640" s="308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 t="shared" si="9"/>
        <v>3</v>
      </c>
    </row>
    <row r="641" spans="1:14">
      <c r="A641" s="307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 t="shared" si="9"/>
        <v>2</v>
      </c>
    </row>
    <row r="642" spans="1:14">
      <c r="A642" s="308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 t="shared" si="9"/>
        <v>4</v>
      </c>
    </row>
    <row r="643" spans="1:14">
      <c r="A643" s="307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 t="shared" si="9"/>
        <v>2</v>
      </c>
    </row>
    <row r="644" spans="1:14">
      <c r="A644" s="308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 t="shared" ref="N644:N707" si="10">SUM(C644:M644)</f>
        <v>2</v>
      </c>
    </row>
    <row r="645" spans="1:14">
      <c r="A645" s="308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 t="shared" si="10"/>
        <v>5</v>
      </c>
    </row>
    <row r="646" spans="1:14">
      <c r="A646" s="308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 t="shared" si="10"/>
        <v>0</v>
      </c>
    </row>
    <row r="647" spans="1:14">
      <c r="A647" s="308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 t="shared" si="10"/>
        <v>3</v>
      </c>
    </row>
    <row r="648" spans="1:14">
      <c r="A648" s="307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 t="shared" si="10"/>
        <v>3</v>
      </c>
    </row>
    <row r="649" spans="1:14">
      <c r="A649" s="308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 t="shared" si="10"/>
        <v>1</v>
      </c>
    </row>
    <row r="650" spans="1:14">
      <c r="A650" s="308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 t="shared" si="10"/>
        <v>3</v>
      </c>
    </row>
    <row r="651" spans="1:14">
      <c r="A651" s="308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 t="shared" si="10"/>
        <v>1</v>
      </c>
    </row>
    <row r="652" spans="1:14">
      <c r="A652" s="308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 t="shared" si="10"/>
        <v>5</v>
      </c>
    </row>
    <row r="653" spans="1:14">
      <c r="A653" s="308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 t="shared" si="10"/>
        <v>3</v>
      </c>
    </row>
    <row r="654" spans="1:14">
      <c r="A654" s="308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 t="shared" si="10"/>
        <v>3</v>
      </c>
    </row>
    <row r="655" spans="1:14">
      <c r="A655" s="308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 t="shared" si="10"/>
        <v>1</v>
      </c>
    </row>
    <row r="656" spans="1:14">
      <c r="A656" s="308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 t="shared" si="10"/>
        <v>0</v>
      </c>
    </row>
    <row r="657" spans="1:14">
      <c r="A657" s="307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 t="shared" si="10"/>
        <v>1</v>
      </c>
    </row>
    <row r="658" spans="1:14">
      <c r="A658" s="308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 t="shared" si="10"/>
        <v>1</v>
      </c>
    </row>
    <row r="659" spans="1:14">
      <c r="A659" s="307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 t="shared" si="10"/>
        <v>1</v>
      </c>
    </row>
    <row r="660" spans="1:14">
      <c r="A660" s="308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 t="shared" si="10"/>
        <v>3</v>
      </c>
    </row>
    <row r="661" spans="1:14">
      <c r="A661" s="308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 t="shared" si="10"/>
        <v>4</v>
      </c>
    </row>
    <row r="662" spans="1:14">
      <c r="A662" s="308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 t="shared" si="10"/>
        <v>2</v>
      </c>
    </row>
    <row r="663" spans="1:14">
      <c r="A663" s="307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 t="shared" si="10"/>
        <v>2</v>
      </c>
    </row>
    <row r="664" spans="1:14">
      <c r="A664" s="307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 t="shared" si="10"/>
        <v>2</v>
      </c>
    </row>
    <row r="665" spans="1:14">
      <c r="A665" s="307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 t="shared" si="10"/>
        <v>2</v>
      </c>
    </row>
    <row r="666" spans="1:14">
      <c r="A666" s="308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 t="shared" si="10"/>
        <v>2</v>
      </c>
    </row>
    <row r="667" spans="1:14">
      <c r="A667" s="307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 t="shared" si="10"/>
        <v>2</v>
      </c>
    </row>
    <row r="668" spans="1:14">
      <c r="A668" s="308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 t="shared" si="10"/>
        <v>3</v>
      </c>
    </row>
    <row r="669" spans="1:14">
      <c r="A669" s="307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 t="shared" si="10"/>
        <v>2</v>
      </c>
    </row>
    <row r="670" spans="1:14">
      <c r="A670" s="307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 t="shared" si="10"/>
        <v>1</v>
      </c>
    </row>
    <row r="671" spans="1:14">
      <c r="A671" s="308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 t="shared" si="10"/>
        <v>2</v>
      </c>
    </row>
    <row r="672" spans="1:14">
      <c r="A672" s="308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 t="shared" si="10"/>
        <v>1</v>
      </c>
    </row>
    <row r="673" spans="1:14">
      <c r="A673" s="307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 t="shared" si="10"/>
        <v>3</v>
      </c>
    </row>
    <row r="674" spans="1:14">
      <c r="A674" s="308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 t="shared" si="10"/>
        <v>5</v>
      </c>
    </row>
    <row r="675" spans="1:14">
      <c r="A675" s="308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 t="shared" si="10"/>
        <v>2</v>
      </c>
    </row>
    <row r="676" spans="1:14">
      <c r="A676" s="307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 t="shared" si="10"/>
        <v>3</v>
      </c>
    </row>
    <row r="677" spans="1:14">
      <c r="A677" s="308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 t="shared" si="10"/>
        <v>5</v>
      </c>
    </row>
    <row r="678" spans="1:14">
      <c r="A678" s="308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 t="shared" si="10"/>
        <v>1</v>
      </c>
    </row>
    <row r="679" spans="1:14">
      <c r="A679" s="308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 t="shared" si="10"/>
        <v>1</v>
      </c>
    </row>
    <row r="680" spans="1:14">
      <c r="A680" s="307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 t="shared" si="10"/>
        <v>4</v>
      </c>
    </row>
    <row r="681" spans="1:14">
      <c r="A681" s="307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 t="shared" si="10"/>
        <v>4</v>
      </c>
    </row>
    <row r="682" spans="1:14">
      <c r="A682" s="307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 t="shared" si="10"/>
        <v>1</v>
      </c>
    </row>
    <row r="683" spans="1:14">
      <c r="A683" s="308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 t="shared" si="10"/>
        <v>2</v>
      </c>
    </row>
    <row r="684" spans="1:14">
      <c r="A684" s="308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 t="shared" si="10"/>
        <v>4</v>
      </c>
    </row>
    <row r="685" spans="1:14">
      <c r="A685" s="308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 t="shared" si="10"/>
        <v>0</v>
      </c>
    </row>
    <row r="686" spans="1:14">
      <c r="A686" s="308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 t="shared" si="10"/>
        <v>1</v>
      </c>
    </row>
    <row r="687" spans="1:14">
      <c r="A687" s="308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 t="shared" si="10"/>
        <v>3</v>
      </c>
    </row>
    <row r="688" spans="1:14">
      <c r="A688" s="308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 t="shared" si="10"/>
        <v>3</v>
      </c>
    </row>
    <row r="689" spans="1:14">
      <c r="A689" s="307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 t="shared" si="10"/>
        <v>1</v>
      </c>
    </row>
    <row r="690" spans="1:14">
      <c r="A690" s="308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 t="shared" si="10"/>
        <v>3</v>
      </c>
    </row>
    <row r="691" spans="1:14">
      <c r="A691" s="308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 t="shared" si="10"/>
        <v>2</v>
      </c>
    </row>
    <row r="692" spans="1:14">
      <c r="A692" s="308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 t="shared" si="10"/>
        <v>2</v>
      </c>
    </row>
    <row r="693" spans="1:14">
      <c r="A693" s="307" t="str">
        <f>HYPERLINK("http://www.wantgoo.com/stock/chart.aspx?stockno=2482","2482")</f>
        <v>2482</v>
      </c>
      <c r="C693" s="18">
        <f>VLOOKUP(2482,季財報!A:H,3)</f>
        <v>1</v>
      </c>
      <c r="D693" s="18">
        <f>VLOOKUP(2482,季財報!A:H,4)</f>
        <v>1</v>
      </c>
      <c r="E693" s="18">
        <f>VLOOKUP(2482,季財報!A:H,5)</f>
        <v>2</v>
      </c>
      <c r="F693" s="18">
        <f>VLOOKUP(2482,季財報!A:H,6)</f>
        <v>1</v>
      </c>
      <c r="G693" s="18">
        <f>VLOOKUP(2482,季財報!A:H,7)</f>
        <v>1</v>
      </c>
      <c r="N693" s="20">
        <f t="shared" si="10"/>
        <v>6</v>
      </c>
    </row>
    <row r="694" spans="1:14">
      <c r="A694" s="308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 t="shared" si="10"/>
        <v>2</v>
      </c>
    </row>
    <row r="695" spans="1:14">
      <c r="A695" s="308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 t="shared" si="10"/>
        <v>3</v>
      </c>
    </row>
    <row r="696" spans="1:14">
      <c r="A696" s="308" t="str">
        <f>HYPERLINK("http://www.wantgoo.com/stock/chart.aspx?stockno=5443","5443")</f>
        <v>5443</v>
      </c>
      <c r="C696" s="18">
        <f>VLOOKUP(5443,季財報!A:H,3)</f>
        <v>1</v>
      </c>
      <c r="D696" s="18">
        <f>VLOOKUP(5443,季財報!A:H,4)</f>
        <v>1</v>
      </c>
      <c r="E696" s="18">
        <f>VLOOKUP(5443,季財報!A:H,5)</f>
        <v>0</v>
      </c>
      <c r="F696" s="18">
        <f>VLOOKUP(5443,季財報!A:H,6)</f>
        <v>1</v>
      </c>
      <c r="G696" s="18">
        <f>VLOOKUP(5443,季財報!A:H,7)</f>
        <v>1</v>
      </c>
      <c r="N696" s="20">
        <f t="shared" si="10"/>
        <v>4</v>
      </c>
    </row>
    <row r="697" spans="1:14">
      <c r="A697" s="308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 t="shared" si="10"/>
        <v>1</v>
      </c>
    </row>
    <row r="698" spans="1:14">
      <c r="A698" s="308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 t="shared" si="10"/>
        <v>2</v>
      </c>
    </row>
    <row r="699" spans="1:14">
      <c r="A699" s="307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 t="shared" si="10"/>
        <v>2</v>
      </c>
    </row>
    <row r="700" spans="1:14">
      <c r="A700" s="307" t="str">
        <f>HYPERLINK("http://www.wantgoo.com/stock/chart.aspx?stockno=3324","3324")</f>
        <v>3324</v>
      </c>
      <c r="C700" s="18">
        <f>VLOOKUP(3324,季財報!A:H,3)</f>
        <v>1</v>
      </c>
      <c r="D700" s="18">
        <f>VLOOKUP(3324,季財報!A:H,4)</f>
        <v>1</v>
      </c>
      <c r="E700" s="18">
        <f>VLOOKUP(3324,季財報!A:H,5)</f>
        <v>2</v>
      </c>
      <c r="F700" s="18">
        <f>VLOOKUP(3324,季財報!A:H,6)</f>
        <v>0</v>
      </c>
      <c r="G700" s="18">
        <f>VLOOKUP(3324,季財報!A:H,7)</f>
        <v>0</v>
      </c>
      <c r="N700" s="20">
        <f t="shared" si="10"/>
        <v>4</v>
      </c>
    </row>
    <row r="701" spans="1:14">
      <c r="A701" s="307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 t="shared" si="10"/>
        <v>2</v>
      </c>
    </row>
    <row r="702" spans="1:14">
      <c r="A702" s="308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 t="shared" si="10"/>
        <v>3</v>
      </c>
    </row>
    <row r="703" spans="1:14">
      <c r="A703" s="308" t="str">
        <f>HYPERLINK("http://www.wantgoo.com/stock/chart.aspx?stockno=3094","3094")</f>
        <v>3094</v>
      </c>
      <c r="C703" s="18">
        <f>VLOOKUP(3094,季財報!A:H,3)</f>
        <v>1</v>
      </c>
      <c r="D703" s="18">
        <f>VLOOKUP(3094,季財報!A:H,4)</f>
        <v>1</v>
      </c>
      <c r="E703" s="18">
        <f>VLOOKUP(3094,季財報!A:H,5)</f>
        <v>0</v>
      </c>
      <c r="F703" s="18">
        <f>VLOOKUP(3094,季財報!A:H,6)</f>
        <v>1</v>
      </c>
      <c r="G703" s="18">
        <f>VLOOKUP(3094,季財報!A:H,7)</f>
        <v>1</v>
      </c>
      <c r="N703" s="20">
        <f t="shared" si="10"/>
        <v>4</v>
      </c>
    </row>
    <row r="704" spans="1:14">
      <c r="A704" s="307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 t="shared" si="10"/>
        <v>3</v>
      </c>
    </row>
    <row r="705" spans="1:14">
      <c r="A705" s="308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 t="shared" si="10"/>
        <v>2</v>
      </c>
    </row>
    <row r="706" spans="1:14">
      <c r="A706" s="307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 t="shared" si="10"/>
        <v>3</v>
      </c>
    </row>
    <row r="707" spans="1:14">
      <c r="A707" s="308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 t="shared" si="10"/>
        <v>1</v>
      </c>
    </row>
    <row r="708" spans="1:14">
      <c r="A708" s="307" t="str">
        <f>HYPERLINK("http://www.wantgoo.com/stock/chart.aspx?stockno=9908","9908")</f>
        <v>9908</v>
      </c>
      <c r="C708" s="18">
        <f>VLOOKUP(9908,季財報!A:H,3)</f>
        <v>1</v>
      </c>
      <c r="D708" s="18">
        <f>VLOOKUP(9908,季財報!A:H,4)</f>
        <v>1</v>
      </c>
      <c r="E708" s="18">
        <f>VLOOKUP(9908,季財報!A:H,5)</f>
        <v>1</v>
      </c>
      <c r="F708" s="18">
        <f>VLOOKUP(9908,季財報!A:H,6)</f>
        <v>1</v>
      </c>
      <c r="G708" s="18">
        <f>VLOOKUP(9908,季財報!A:H,7)</f>
        <v>0</v>
      </c>
      <c r="N708" s="20">
        <f t="shared" ref="N708:N737" si="11">SUM(C708:M708)</f>
        <v>4</v>
      </c>
    </row>
    <row r="709" spans="1:14">
      <c r="A709" s="308" t="str">
        <f>HYPERLINK("http://www.wantgoo.com/stock/chart.aspx?stockno=3068","3068")</f>
        <v>3068</v>
      </c>
      <c r="C709" s="18">
        <f>VLOOKUP(3068,季財報!A:H,3)</f>
        <v>1</v>
      </c>
      <c r="D709" s="18">
        <f>VLOOKUP(3068,季財報!A:H,4)</f>
        <v>1</v>
      </c>
      <c r="E709" s="18">
        <f>VLOOKUP(3068,季財報!A:H,5)</f>
        <v>2</v>
      </c>
      <c r="F709" s="18">
        <f>VLOOKUP(3068,季財報!A:H,6)</f>
        <v>1</v>
      </c>
      <c r="G709" s="18">
        <f>VLOOKUP(3068,季財報!A:H,7)</f>
        <v>0</v>
      </c>
      <c r="N709" s="20">
        <f t="shared" si="11"/>
        <v>5</v>
      </c>
    </row>
    <row r="710" spans="1:14">
      <c r="A710" s="308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 t="shared" si="11"/>
        <v>3</v>
      </c>
    </row>
    <row r="711" spans="1:14">
      <c r="A711" s="307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 t="shared" si="11"/>
        <v>3</v>
      </c>
    </row>
    <row r="712" spans="1:14">
      <c r="A712" s="307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 t="shared" si="11"/>
        <v>3</v>
      </c>
    </row>
    <row r="713" spans="1:14">
      <c r="A713" s="308" t="str">
        <f>HYPERLINK("http://www.wantgoo.com/stock/chart.aspx?stockno=2726","2726")</f>
        <v>2726</v>
      </c>
      <c r="C713" s="18">
        <f>VLOOKUP(2726,季財報!A:H,3)</f>
        <v>1</v>
      </c>
      <c r="D713" s="18">
        <f>VLOOKUP(2726,季財報!A:H,4)</f>
        <v>1</v>
      </c>
      <c r="E713" s="18">
        <f>VLOOKUP(2726,季財報!A:H,5)</f>
        <v>2</v>
      </c>
      <c r="F713" s="18">
        <f>VLOOKUP(2726,季財報!A:H,6)</f>
        <v>1</v>
      </c>
      <c r="G713" s="18">
        <f>VLOOKUP(2726,季財報!A:H,7)</f>
        <v>0</v>
      </c>
      <c r="N713" s="20">
        <f t="shared" si="11"/>
        <v>5</v>
      </c>
    </row>
    <row r="714" spans="1:14">
      <c r="A714" s="307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 t="shared" si="11"/>
        <v>2</v>
      </c>
    </row>
    <row r="715" spans="1:14">
      <c r="A715" s="308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 t="shared" si="11"/>
        <v>3</v>
      </c>
    </row>
    <row r="716" spans="1:14">
      <c r="A716" s="308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 t="shared" si="11"/>
        <v>2</v>
      </c>
    </row>
    <row r="717" spans="1:14">
      <c r="A717" s="308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 t="shared" si="11"/>
        <v>2</v>
      </c>
    </row>
    <row r="718" spans="1:14">
      <c r="A718" s="307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 t="shared" si="11"/>
        <v>2</v>
      </c>
    </row>
    <row r="719" spans="1:14">
      <c r="A719" s="307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 t="shared" si="11"/>
        <v>2</v>
      </c>
    </row>
    <row r="720" spans="1:14">
      <c r="A720" s="307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 t="shared" si="11"/>
        <v>5</v>
      </c>
    </row>
    <row r="721" spans="1:14">
      <c r="A721" s="307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 t="shared" si="11"/>
        <v>3</v>
      </c>
    </row>
    <row r="722" spans="1:14">
      <c r="A722" s="308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 t="shared" si="11"/>
        <v>4</v>
      </c>
    </row>
    <row r="723" spans="1:14">
      <c r="A723" s="307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 t="shared" si="11"/>
        <v>2</v>
      </c>
    </row>
    <row r="724" spans="1:14">
      <c r="A724" s="307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 t="shared" si="11"/>
        <v>3</v>
      </c>
    </row>
    <row r="725" spans="1:14">
      <c r="A725" s="308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 t="shared" si="11"/>
        <v>2</v>
      </c>
    </row>
    <row r="726" spans="1:14">
      <c r="A726" s="308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 t="shared" si="11"/>
        <v>1</v>
      </c>
    </row>
    <row r="727" spans="1:14">
      <c r="A727" s="307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 t="shared" si="11"/>
        <v>5</v>
      </c>
    </row>
    <row r="728" spans="1:14">
      <c r="A728" s="307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 t="shared" si="11"/>
        <v>1</v>
      </c>
    </row>
    <row r="729" spans="1:14">
      <c r="A729" s="307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 t="shared" si="11"/>
        <v>3</v>
      </c>
    </row>
    <row r="730" spans="1:14">
      <c r="A730" s="308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 t="shared" si="11"/>
        <v>2</v>
      </c>
    </row>
    <row r="731" spans="1:14">
      <c r="A731" s="307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 t="shared" si="11"/>
        <v>3</v>
      </c>
    </row>
    <row r="732" spans="1:14">
      <c r="A732" s="308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 t="shared" si="11"/>
        <v>5</v>
      </c>
    </row>
    <row r="733" spans="1:14">
      <c r="A733" s="308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 t="shared" si="11"/>
        <v>0</v>
      </c>
    </row>
    <row r="734" spans="1:14">
      <c r="A734" s="308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 t="shared" si="11"/>
        <v>2</v>
      </c>
    </row>
    <row r="735" spans="1:14">
      <c r="A735" s="308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 t="shared" si="11"/>
        <v>3</v>
      </c>
    </row>
    <row r="736" spans="1:14">
      <c r="A736" s="307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 t="shared" si="11"/>
        <v>1</v>
      </c>
    </row>
    <row r="737" spans="1:14">
      <c r="A737" s="308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 t="shared" si="11"/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67" r:id="rId3" name="CommandButton12"/>
    <control shapeId="2065" r:id="rId4" name="CommandButton11"/>
    <control shapeId="2064" r:id="rId5" name="CommandButton10"/>
    <control shapeId="2063" r:id="rId6" name="CommandButton8"/>
    <control shapeId="2057" r:id="rId7" name="CommandButton1"/>
    <control shapeId="2049" r:id="rId8" name="CommandButton2"/>
    <control shapeId="2050" r:id="rId9" name="CommandButton3"/>
    <control shapeId="2051" r:id="rId10" name="CommandButton4"/>
    <control shapeId="2052" r:id="rId11" name="CommandButton5"/>
    <control shapeId="2053" r:id="rId12" name="CommandButton6"/>
    <control shapeId="2059" r:id="rId13" name="CommandButton7"/>
    <control shapeId="2062" r:id="rId14" name="CommandButton9"/>
    <control shapeId="2068" r:id="rId15" name="CommandButton13"/>
    <control shapeId="2069" r:id="rId16" name="CommandButton14"/>
    <control shapeId="2070" r:id="rId17" name="CommandButton15"/>
    <control shapeId="2071" r:id="rId18" name="CommandButton16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1979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2028</v>
      </c>
      <c r="C2" s="32" t="s">
        <v>2027</v>
      </c>
      <c r="D2" s="32" t="s">
        <v>1980</v>
      </c>
      <c r="E2" s="32" t="s">
        <v>1981</v>
      </c>
      <c r="F2" s="32" t="s">
        <v>1982</v>
      </c>
      <c r="G2" s="32" t="s">
        <v>1983</v>
      </c>
      <c r="H2" s="32" t="s">
        <v>2027</v>
      </c>
      <c r="I2" s="32" t="s">
        <v>1980</v>
      </c>
      <c r="J2" s="32" t="s">
        <v>1981</v>
      </c>
      <c r="K2" s="32" t="s">
        <v>1982</v>
      </c>
      <c r="L2" s="32" t="s">
        <v>1983</v>
      </c>
      <c r="M2" s="32" t="s">
        <v>2027</v>
      </c>
      <c r="N2" s="32" t="s">
        <v>1980</v>
      </c>
      <c r="O2" s="32" t="s">
        <v>1981</v>
      </c>
      <c r="P2" s="32" t="s">
        <v>1982</v>
      </c>
      <c r="Q2" s="32" t="s">
        <v>1983</v>
      </c>
    </row>
    <row r="3" spans="1:28">
      <c r="A3" s="31">
        <v>1103</v>
      </c>
      <c r="B3" s="305" t="s">
        <v>2029</v>
      </c>
      <c r="C3" s="32">
        <v>1</v>
      </c>
      <c r="D3" s="32" t="s">
        <v>1984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1984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1984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2030</v>
      </c>
      <c r="C4" s="32">
        <v>2</v>
      </c>
      <c r="D4" s="32" t="s">
        <v>1985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1985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1985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2031</v>
      </c>
      <c r="C5" s="32">
        <v>3</v>
      </c>
      <c r="D5" s="32" t="s">
        <v>1986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1986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1986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2032</v>
      </c>
      <c r="C6" s="32">
        <v>4</v>
      </c>
      <c r="D6" s="32" t="s">
        <v>1987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1987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1987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2033</v>
      </c>
      <c r="C7" s="32">
        <v>5</v>
      </c>
      <c r="D7" s="32" t="s">
        <v>1988</v>
      </c>
      <c r="E7" s="32">
        <v>118</v>
      </c>
      <c r="F7" s="154">
        <v>2125269</v>
      </c>
      <c r="G7" s="32">
        <v>2.35</v>
      </c>
      <c r="H7" s="32">
        <v>5</v>
      </c>
      <c r="I7" s="32" t="s">
        <v>1988</v>
      </c>
      <c r="J7" s="32">
        <v>118</v>
      </c>
      <c r="K7" s="154">
        <v>2127887</v>
      </c>
      <c r="L7" s="32">
        <v>2.35</v>
      </c>
      <c r="M7" s="32">
        <v>5</v>
      </c>
      <c r="N7" s="32" t="s">
        <v>1988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2034</v>
      </c>
      <c r="C8" s="32">
        <v>6</v>
      </c>
      <c r="D8" s="32" t="s">
        <v>1989</v>
      </c>
      <c r="E8" s="32">
        <v>139</v>
      </c>
      <c r="F8" s="154">
        <v>3414911</v>
      </c>
      <c r="G8" s="32">
        <v>3.78</v>
      </c>
      <c r="H8" s="32">
        <v>6</v>
      </c>
      <c r="I8" s="32" t="s">
        <v>1989</v>
      </c>
      <c r="J8" s="32">
        <v>137</v>
      </c>
      <c r="K8" s="154">
        <v>3359811</v>
      </c>
      <c r="L8" s="32">
        <v>3.72</v>
      </c>
      <c r="M8" s="32">
        <v>6</v>
      </c>
      <c r="N8" s="32" t="s">
        <v>1989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2035</v>
      </c>
      <c r="C9" s="32">
        <v>7</v>
      </c>
      <c r="D9" s="32" t="s">
        <v>1990</v>
      </c>
      <c r="E9" s="32">
        <v>59</v>
      </c>
      <c r="F9" s="154">
        <v>2092232</v>
      </c>
      <c r="G9" s="32">
        <v>2.31</v>
      </c>
      <c r="H9" s="32">
        <v>7</v>
      </c>
      <c r="I9" s="32" t="s">
        <v>1990</v>
      </c>
      <c r="J9" s="32">
        <v>58</v>
      </c>
      <c r="K9" s="154">
        <v>2054232</v>
      </c>
      <c r="L9" s="32">
        <v>2.27</v>
      </c>
      <c r="M9" s="32">
        <v>7</v>
      </c>
      <c r="N9" s="32" t="s">
        <v>1990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2036</v>
      </c>
      <c r="C10" s="32">
        <v>8</v>
      </c>
      <c r="D10" s="32" t="s">
        <v>1991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1991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1991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2037</v>
      </c>
      <c r="C11" s="32">
        <v>9</v>
      </c>
      <c r="D11" s="32" t="s">
        <v>1992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1992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1992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2038</v>
      </c>
      <c r="C12" s="32">
        <v>10</v>
      </c>
      <c r="D12" s="32" t="s">
        <v>1993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1993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1993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2039</v>
      </c>
      <c r="C13" s="32">
        <v>11</v>
      </c>
      <c r="D13" s="32" t="s">
        <v>1994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1994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1994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2040</v>
      </c>
      <c r="C14" s="32">
        <v>12</v>
      </c>
      <c r="D14" s="32" t="s">
        <v>1995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1995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1995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2041</v>
      </c>
      <c r="C15" s="32">
        <v>13</v>
      </c>
      <c r="D15" s="32" t="s">
        <v>1996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1996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1996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2042</v>
      </c>
      <c r="C16" s="32">
        <v>14</v>
      </c>
      <c r="D16" s="32" t="s">
        <v>1997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1997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1997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2043</v>
      </c>
      <c r="C17" s="32">
        <v>15</v>
      </c>
      <c r="D17" s="32" t="s">
        <v>1998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1998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1998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2044</v>
      </c>
      <c r="C18" s="32"/>
      <c r="D18" s="32" t="s">
        <v>1999</v>
      </c>
      <c r="E18" s="154">
        <v>4571</v>
      </c>
      <c r="F18" s="154">
        <v>90220260</v>
      </c>
      <c r="G18" s="32">
        <v>100</v>
      </c>
      <c r="H18" s="32"/>
      <c r="I18" s="32" t="s">
        <v>1999</v>
      </c>
      <c r="J18" s="154">
        <v>4562</v>
      </c>
      <c r="K18" s="154">
        <v>90220260</v>
      </c>
      <c r="L18" s="32">
        <v>100</v>
      </c>
      <c r="M18" s="32"/>
      <c r="N18" s="32" t="s">
        <v>1999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2045</v>
      </c>
      <c r="C19" s="32"/>
      <c r="D19" s="32" t="s">
        <v>1999</v>
      </c>
      <c r="E19" s="154">
        <v>5475</v>
      </c>
      <c r="F19" s="154">
        <v>61350880</v>
      </c>
      <c r="G19" s="32">
        <v>100</v>
      </c>
      <c r="H19" s="32"/>
      <c r="I19" s="32" t="s">
        <v>1999</v>
      </c>
      <c r="J19" s="154">
        <v>1487</v>
      </c>
      <c r="K19" s="154">
        <v>52577600</v>
      </c>
      <c r="L19" s="32">
        <v>100</v>
      </c>
      <c r="M19" s="32"/>
      <c r="N19" s="32" t="s">
        <v>1999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097" r:id="rId27" name="CommandButton2"/>
    <control shapeId="4098" r:id="rId28" name="CommandButton3"/>
    <control shapeId="4099" r:id="rId29" name="CommandButton4"/>
    <control shapeId="4105" r:id="rId30" name="CommandButton10"/>
    <control shapeId="4106" r:id="rId31" name="CommandButton11"/>
    <control shapeId="4107" r:id="rId32" name="CommandButton12"/>
    <control shapeId="4108" r:id="rId33" name="CommandButton13"/>
    <control shapeId="4109" r:id="rId34" name="CommandButton1"/>
    <control shapeId="4110" r:id="rId35" name="CommandButton14"/>
    <control shapeId="4111" r:id="rId36" name="CommandButton15"/>
    <control shapeId="4112" r:id="rId37" name="CommandButton16"/>
    <control shapeId="4113" r:id="rId38" name="CommandButton17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73" t="s">
        <v>1867</v>
      </c>
      <c r="S1" s="374"/>
      <c r="T1" s="374"/>
      <c r="U1" s="374"/>
      <c r="V1" s="375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72" t="s">
        <v>204</v>
      </c>
      <c r="C3" s="372"/>
      <c r="D3" s="372"/>
      <c r="E3" s="372"/>
      <c r="F3" s="372"/>
      <c r="G3" s="372"/>
      <c r="H3" s="372"/>
      <c r="I3" s="43"/>
      <c r="J3" s="372" t="s">
        <v>205</v>
      </c>
      <c r="K3" s="372"/>
      <c r="L3" s="372"/>
      <c r="M3" s="372"/>
      <c r="N3" s="372"/>
      <c r="O3" s="372"/>
      <c r="P3" s="372"/>
      <c r="R3" s="378" t="s">
        <v>1872</v>
      </c>
      <c r="S3" s="319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76"/>
      <c r="T7" s="376"/>
      <c r="U7" s="376"/>
      <c r="V7" s="377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72" t="s">
        <v>1869</v>
      </c>
      <c r="C14" s="372"/>
      <c r="D14" s="372"/>
      <c r="E14" s="372"/>
      <c r="F14" s="372"/>
      <c r="G14" s="372"/>
      <c r="H14" s="372"/>
      <c r="I14" s="43"/>
      <c r="J14" s="372" t="s">
        <v>206</v>
      </c>
      <c r="K14" s="372"/>
      <c r="L14" s="372"/>
      <c r="M14" s="372"/>
      <c r="N14" s="372"/>
      <c r="O14" s="372"/>
      <c r="P14" s="372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72" t="s">
        <v>1868</v>
      </c>
      <c r="C25" s="372"/>
      <c r="D25" s="372"/>
      <c r="E25" s="372"/>
      <c r="F25" s="372"/>
      <c r="G25" s="372"/>
      <c r="H25" s="372"/>
      <c r="I25" s="43"/>
      <c r="J25" s="372" t="s">
        <v>1871</v>
      </c>
      <c r="K25" s="372"/>
      <c r="L25" s="372"/>
      <c r="M25" s="372"/>
      <c r="N25" s="372"/>
      <c r="O25" s="372"/>
      <c r="P25" s="372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69" r:id="rId4" name="ComboBox1"/>
    <control shapeId="7170" r:id="rId5" name="ComboBox2"/>
    <control shapeId="7171" r:id="rId6" name="ComboBox3"/>
    <control shapeId="7172" r:id="rId7" name="CommandButton1"/>
    <control shapeId="7173" r:id="rId8" name="CommandButton2"/>
    <control shapeId="7174" r:id="rId9" name="CommandButton3"/>
    <control shapeId="7175" r:id="rId10" name="CommandButton4"/>
    <control shapeId="7176" r:id="rId11" name="CommandButton5"/>
    <control shapeId="7178" r:id="rId12" name="CommandButton7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2003</v>
      </c>
      <c r="B1" s="48" t="s">
        <v>2054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2008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2046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2047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2047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2046</v>
      </c>
    </row>
    <row r="6" spans="1:11" customFormat="1" hidden="1">
      <c r="A6">
        <v>8255</v>
      </c>
      <c r="B6" t="s">
        <v>2005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2046</v>
      </c>
    </row>
    <row r="7" spans="1:11" customFormat="1" hidden="1">
      <c r="A7">
        <v>8109</v>
      </c>
      <c r="B7" t="s">
        <v>2023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2046</v>
      </c>
    </row>
    <row r="8" spans="1:11" customFormat="1" hidden="1">
      <c r="A8">
        <v>8099</v>
      </c>
      <c r="B8" t="s">
        <v>2024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2046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2047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2046</v>
      </c>
    </row>
    <row r="11" spans="1:11" customFormat="1" hidden="1">
      <c r="A11">
        <v>8059</v>
      </c>
      <c r="B11" t="s">
        <v>2018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2046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2046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2046</v>
      </c>
    </row>
    <row r="14" spans="1:11" customFormat="1" hidden="1">
      <c r="A14">
        <v>6287</v>
      </c>
      <c r="B14" t="s">
        <v>2012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2046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2046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2046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2047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2046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2046</v>
      </c>
    </row>
    <row r="20" spans="1:11" customFormat="1" hidden="1">
      <c r="A20">
        <v>6204</v>
      </c>
      <c r="B20" t="s">
        <v>2022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2046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2046</v>
      </c>
    </row>
    <row r="22" spans="1:11" customFormat="1" hidden="1">
      <c r="A22">
        <v>6129</v>
      </c>
      <c r="B22" t="s">
        <v>2011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2046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2046</v>
      </c>
    </row>
    <row r="24" spans="1:11" customFormat="1" hidden="1">
      <c r="A24">
        <v>6023</v>
      </c>
      <c r="B24" t="s">
        <v>2049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2046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2047</v>
      </c>
    </row>
    <row r="26" spans="1:11" customFormat="1" hidden="1">
      <c r="A26">
        <v>5601</v>
      </c>
      <c r="B26" t="s">
        <v>2053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2046</v>
      </c>
    </row>
    <row r="27" spans="1:11" customFormat="1" hidden="1">
      <c r="A27">
        <v>5508</v>
      </c>
      <c r="B27" t="s">
        <v>2025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2046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2046</v>
      </c>
    </row>
    <row r="29" spans="1:11" customFormat="1" hidden="1">
      <c r="A29">
        <v>5460</v>
      </c>
      <c r="B29" t="s">
        <v>2021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2046</v>
      </c>
    </row>
    <row r="30" spans="1:11" customFormat="1" hidden="1">
      <c r="A30">
        <v>5432</v>
      </c>
      <c r="B30" t="s">
        <v>2016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2046</v>
      </c>
    </row>
    <row r="31" spans="1:11" customFormat="1" hidden="1">
      <c r="A31">
        <v>5356</v>
      </c>
      <c r="B31" t="s">
        <v>2013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2046</v>
      </c>
    </row>
    <row r="32" spans="1:11" customFormat="1" hidden="1">
      <c r="A32">
        <v>5349</v>
      </c>
      <c r="B32" t="s">
        <v>2020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2046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2046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2047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2046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2047</v>
      </c>
    </row>
    <row r="37" spans="1:11" customFormat="1" hidden="1">
      <c r="A37">
        <v>4972</v>
      </c>
      <c r="B37" t="s">
        <v>2015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2046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2046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2047</v>
      </c>
    </row>
    <row r="40" spans="1:11" customFormat="1" hidden="1">
      <c r="A40">
        <v>4703</v>
      </c>
      <c r="B40" t="s">
        <v>2051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2046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2047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2046</v>
      </c>
    </row>
    <row r="43" spans="1:11" customFormat="1" hidden="1">
      <c r="A43">
        <v>4161</v>
      </c>
      <c r="B43" t="s">
        <v>2007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2046</v>
      </c>
    </row>
    <row r="44" spans="1:11" customFormat="1" hidden="1">
      <c r="A44">
        <v>4147</v>
      </c>
      <c r="B44" t="s">
        <v>2006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2046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2047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2046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2046</v>
      </c>
    </row>
    <row r="48" spans="1:11" customFormat="1" hidden="1">
      <c r="A48" s="305">
        <v>3675</v>
      </c>
      <c r="B48" s="305" t="s">
        <v>2010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2046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2046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2046</v>
      </c>
    </row>
    <row r="51" spans="1:11" customFormat="1" hidden="1">
      <c r="A51">
        <v>3629</v>
      </c>
      <c r="B51" t="s">
        <v>2014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2046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2046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2046</v>
      </c>
    </row>
    <row r="54" spans="1:11" customFormat="1" hidden="1">
      <c r="A54">
        <v>3552</v>
      </c>
      <c r="B54" t="s">
        <v>2048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2046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2047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2046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2046</v>
      </c>
    </row>
    <row r="58" spans="1:11" customFormat="1" hidden="1">
      <c r="A58">
        <v>3293</v>
      </c>
      <c r="B58" t="s">
        <v>2026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2046</v>
      </c>
    </row>
    <row r="59" spans="1:11" customFormat="1" hidden="1">
      <c r="A59">
        <v>3290</v>
      </c>
      <c r="B59" t="s">
        <v>2052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2046</v>
      </c>
    </row>
    <row r="60" spans="1:11" customFormat="1" hidden="1">
      <c r="A60" s="305">
        <v>3260</v>
      </c>
      <c r="B60" s="305" t="s">
        <v>2009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2046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2046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2046</v>
      </c>
    </row>
    <row r="63" spans="1:11" customFormat="1" hidden="1">
      <c r="A63">
        <v>3211</v>
      </c>
      <c r="B63" t="s">
        <v>2050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2046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2047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2046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2046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2046</v>
      </c>
    </row>
    <row r="68" spans="1:11" customFormat="1" hidden="1">
      <c r="A68">
        <v>3081</v>
      </c>
      <c r="B68" t="s">
        <v>2017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2046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2046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2046</v>
      </c>
    </row>
    <row r="71" spans="1:11" customFormat="1" hidden="1">
      <c r="A71">
        <v>1595</v>
      </c>
      <c r="B71" t="s">
        <v>2019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2046</v>
      </c>
    </row>
    <row r="72" spans="1:11" customFormat="1" hidden="1">
      <c r="A72" s="305">
        <v>1586</v>
      </c>
      <c r="B72" s="305" t="s">
        <v>2004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2046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89" r:id="rId3" name="ComboBox1"/>
    <control shapeId="12293" r:id="rId4" name="CommandButton4"/>
    <control shapeId="12295" r:id="rId5" name="CommandButton5"/>
    <control shapeId="12296" r:id="rId6" name="CommandButton6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9" r:id="rId3" name="CommandButton7"/>
    <control shapeId="3087" r:id="rId4" name="CommandButton2"/>
    <control shapeId="3086" r:id="rId5" name="CommandButton10"/>
    <control shapeId="3080" r:id="rId6" name="CommandButton1"/>
    <control shapeId="3079" r:id="rId7" name="CommandButton5"/>
    <control shapeId="3077" r:id="rId8" name="CommandButton4"/>
    <control shapeId="3075" r:id="rId9" name="CommandButton3"/>
    <control shapeId="3085" r:id="rId10" name="CommandButton9"/>
    <control shapeId="3088" r:id="rId11" name="CommandButton6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0" r:id="rId2" name="CommandButton3"/>
    <control shapeId="50179" r:id="rId3" name="CommandButton2"/>
    <control shapeId="50178" r:id="rId4" name="CommandButton1"/>
    <control shapeId="50183" r:id="rId5" name="CommandButton5"/>
    <control shapeId="50184" r:id="rId6" name="CommandButton6"/>
    <control shapeId="50186" r:id="rId7" name="CommandButton7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1" r:id="rId3" name="CommandButton1"/>
    <control shapeId="5122" r:id="rId4" name="CommandButton2"/>
    <control shapeId="5123" r:id="rId5" name="CommandButton3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57" r:id="rId3" name="CommandButton1"/>
    <control shapeId="19460" r:id="rId4" name="CommandButton2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2016-01-08T09:11:35Z</dcterms:modified>
</cp:coreProperties>
</file>