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  <sheet name="Sheet2" sheetId="8" r:id="rId7"/>
  </sheets>
  <definedNames>
    <definedName name="_xlnm._FilterDatabase" localSheetId="0" hidden="1">'老婆合資(投資)'!$A$1:$K$532</definedName>
    <definedName name="_xlnm._FilterDatabase" localSheetId="2" hidden="1">股份統計!$A$1:$J$43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I554" i="1"/>
  <c r="H554"/>
  <c r="G554"/>
  <c r="C554"/>
  <c r="J554" s="1"/>
  <c r="B554"/>
  <c r="C553"/>
  <c r="C552"/>
  <c r="C551"/>
  <c r="I544"/>
  <c r="I532"/>
  <c r="I504"/>
  <c r="I502"/>
  <c r="C504"/>
  <c r="J504" s="1"/>
  <c r="C502"/>
  <c r="H532"/>
  <c r="G532"/>
  <c r="C532"/>
  <c r="B532"/>
  <c r="C544"/>
  <c r="G544"/>
  <c r="B544"/>
  <c r="C550"/>
  <c r="C549"/>
  <c r="C531"/>
  <c r="C543"/>
  <c r="C548"/>
  <c r="C547"/>
  <c r="C546"/>
  <c r="C530"/>
  <c r="C542"/>
  <c r="C541"/>
  <c r="C540"/>
  <c r="C539"/>
  <c r="C538"/>
  <c r="C545"/>
  <c r="B504"/>
  <c r="G504"/>
  <c r="B493"/>
  <c r="E493"/>
  <c r="J493" s="1"/>
  <c r="C529"/>
  <c r="J484"/>
  <c r="J485"/>
  <c r="C537"/>
  <c r="C536"/>
  <c r="J481"/>
  <c r="J482"/>
  <c r="J483"/>
  <c r="C483"/>
  <c r="C484"/>
  <c r="C535"/>
  <c r="C534"/>
  <c r="C533"/>
  <c r="C482"/>
  <c r="C481"/>
  <c r="J480"/>
  <c r="J479"/>
  <c r="B477"/>
  <c r="J477" s="1"/>
  <c r="C528"/>
  <c r="B474"/>
  <c r="E474"/>
  <c r="C476"/>
  <c r="C475"/>
  <c r="C527"/>
  <c r="C526"/>
  <c r="B462"/>
  <c r="J462" s="1"/>
  <c r="C480"/>
  <c r="H502"/>
  <c r="G502"/>
  <c r="D9" i="5"/>
  <c r="C525" i="1"/>
  <c r="C524"/>
  <c r="C523"/>
  <c r="C522"/>
  <c r="C518"/>
  <c r="C515"/>
  <c r="C512"/>
  <c r="C521"/>
  <c r="C520"/>
  <c r="C519"/>
  <c r="C517"/>
  <c r="C516"/>
  <c r="C514"/>
  <c r="C513"/>
  <c r="C507"/>
  <c r="C511"/>
  <c r="C510"/>
  <c r="C509"/>
  <c r="C508"/>
  <c r="B459"/>
  <c r="J459" s="1"/>
  <c r="B456"/>
  <c r="C457"/>
  <c r="C453"/>
  <c r="E456"/>
  <c r="C506"/>
  <c r="J451"/>
  <c r="C505"/>
  <c r="J447"/>
  <c r="C447"/>
  <c r="C458"/>
  <c r="B502"/>
  <c r="B446"/>
  <c r="J446" s="1"/>
  <c r="C451"/>
  <c r="C452"/>
  <c r="C445"/>
  <c r="J433"/>
  <c r="J422"/>
  <c r="E432"/>
  <c r="B432"/>
  <c r="B426"/>
  <c r="J426" s="1"/>
  <c r="C444"/>
  <c r="C443"/>
  <c r="C442"/>
  <c r="C422"/>
  <c r="C441"/>
  <c r="C423"/>
  <c r="C424"/>
  <c r="C440"/>
  <c r="C425"/>
  <c r="C428"/>
  <c r="C427"/>
  <c r="B421"/>
  <c r="J421" s="1"/>
  <c r="J409"/>
  <c r="C409"/>
  <c r="P9" i="5"/>
  <c r="C408" i="1"/>
  <c r="J408"/>
  <c r="B407"/>
  <c r="J407" s="1"/>
  <c r="J403"/>
  <c r="J402"/>
  <c r="J401"/>
  <c r="C503"/>
  <c r="C401"/>
  <c r="C439"/>
  <c r="C438"/>
  <c r="C400"/>
  <c r="J400"/>
  <c r="C399"/>
  <c r="J399"/>
  <c r="C398"/>
  <c r="J398"/>
  <c r="J397"/>
  <c r="C397"/>
  <c r="C420"/>
  <c r="J396"/>
  <c r="C489"/>
  <c r="J395"/>
  <c r="B394"/>
  <c r="C419"/>
  <c r="C418"/>
  <c r="C390"/>
  <c r="C437"/>
  <c r="C436"/>
  <c r="C435"/>
  <c r="C434"/>
  <c r="J389"/>
  <c r="J388"/>
  <c r="C387"/>
  <c r="J387"/>
  <c r="J386"/>
  <c r="C389"/>
  <c r="C386"/>
  <c r="C417"/>
  <c r="C416"/>
  <c r="J385"/>
  <c r="B384"/>
  <c r="C385"/>
  <c r="E384"/>
  <c r="C378"/>
  <c r="R9" i="5"/>
  <c r="C415" i="1"/>
  <c r="J374"/>
  <c r="E9" i="5"/>
  <c r="C460" i="1"/>
  <c r="J373"/>
  <c r="C373"/>
  <c r="C374"/>
  <c r="C488"/>
  <c r="B372"/>
  <c r="J372" s="1"/>
  <c r="C487"/>
  <c r="C461"/>
  <c r="B368"/>
  <c r="J368" s="1"/>
  <c r="J362"/>
  <c r="C410"/>
  <c r="C362"/>
  <c r="J361"/>
  <c r="C395"/>
  <c r="C486"/>
  <c r="J9" i="5"/>
  <c r="C360" i="1"/>
  <c r="J360"/>
  <c r="C413"/>
  <c r="C414"/>
  <c r="C412"/>
  <c r="C411"/>
  <c r="C367"/>
  <c r="G43" i="6"/>
  <c r="I43" s="1"/>
  <c r="G42"/>
  <c r="I42" s="1"/>
  <c r="F9" i="5"/>
  <c r="G41" i="6"/>
  <c r="H41" s="1"/>
  <c r="C371" i="1"/>
  <c r="C366"/>
  <c r="C365"/>
  <c r="B358"/>
  <c r="J358" s="1"/>
  <c r="C361"/>
  <c r="C377"/>
  <c r="J348"/>
  <c r="C350"/>
  <c r="C348"/>
  <c r="C364"/>
  <c r="C363"/>
  <c r="C370"/>
  <c r="C369"/>
  <c r="J347"/>
  <c r="C347"/>
  <c r="J346"/>
  <c r="C346"/>
  <c r="J343"/>
  <c r="G40" i="6"/>
  <c r="H40" s="1"/>
  <c r="G39"/>
  <c r="H39" s="1"/>
  <c r="J544" i="1" l="1"/>
  <c r="J474"/>
  <c r="J532"/>
  <c r="J456"/>
  <c r="J432"/>
  <c r="J384"/>
  <c r="J502"/>
  <c r="H43" i="6"/>
  <c r="H42"/>
  <c r="I41"/>
  <c r="C405" i="1"/>
  <c r="C376"/>
  <c r="G35" i="6"/>
  <c r="I35" s="1"/>
  <c r="G37"/>
  <c r="I37" s="1"/>
  <c r="G38"/>
  <c r="I38" s="1"/>
  <c r="G36"/>
  <c r="I36" s="1"/>
  <c r="C404" i="1"/>
  <c r="J342"/>
  <c r="M15" i="8"/>
  <c r="L15"/>
  <c r="F3"/>
  <c r="O3" s="1"/>
  <c r="E3"/>
  <c r="E4" s="1"/>
  <c r="D3"/>
  <c r="D4" s="1"/>
  <c r="D5" s="1"/>
  <c r="D6" s="1"/>
  <c r="D7" s="1"/>
  <c r="D8" s="1"/>
  <c r="D9" s="1"/>
  <c r="P2"/>
  <c r="O2"/>
  <c r="N2"/>
  <c r="K2"/>
  <c r="K3" s="1"/>
  <c r="K4" s="1"/>
  <c r="K5" s="1"/>
  <c r="K6" s="1"/>
  <c r="K7" s="1"/>
  <c r="K8" s="1"/>
  <c r="K9" s="1"/>
  <c r="J2"/>
  <c r="K8" i="5"/>
  <c r="H37" i="6" l="1"/>
  <c r="H38"/>
  <c r="H36"/>
  <c r="H35"/>
  <c r="L17" i="8"/>
  <c r="M17"/>
  <c r="E5"/>
  <c r="P4"/>
  <c r="N3"/>
  <c r="M16"/>
  <c r="F4"/>
  <c r="L16"/>
  <c r="J3"/>
  <c r="P3"/>
  <c r="F7" i="5"/>
  <c r="C342" i="1"/>
  <c r="J337"/>
  <c r="C337"/>
  <c r="C375"/>
  <c r="J336"/>
  <c r="C396"/>
  <c r="K9" i="5"/>
  <c r="G33" i="6"/>
  <c r="G34"/>
  <c r="G32"/>
  <c r="G31"/>
  <c r="H31" l="1"/>
  <c r="I31"/>
  <c r="H33"/>
  <c r="I33"/>
  <c r="H34"/>
  <c r="I34"/>
  <c r="H32"/>
  <c r="I32"/>
  <c r="E6" i="8"/>
  <c r="P5"/>
  <c r="L18"/>
  <c r="M18"/>
  <c r="F5"/>
  <c r="N4"/>
  <c r="O4"/>
  <c r="J4"/>
  <c r="E8" i="5"/>
  <c r="H30" i="6"/>
  <c r="G30"/>
  <c r="I30" s="1"/>
  <c r="C393" i="1"/>
  <c r="I24" i="6"/>
  <c r="H24"/>
  <c r="C336" i="1"/>
  <c r="C392"/>
  <c r="C391"/>
  <c r="J327"/>
  <c r="C388"/>
  <c r="C485"/>
  <c r="C357"/>
  <c r="J324"/>
  <c r="J323"/>
  <c r="J318"/>
  <c r="B317"/>
  <c r="J317" s="1"/>
  <c r="C500"/>
  <c r="C318"/>
  <c r="J305"/>
  <c r="C501"/>
  <c r="C305"/>
  <c r="J304"/>
  <c r="C304"/>
  <c r="J303"/>
  <c r="C302"/>
  <c r="J302"/>
  <c r="J301"/>
  <c r="C301"/>
  <c r="C300"/>
  <c r="J300"/>
  <c r="C299"/>
  <c r="J299"/>
  <c r="J298"/>
  <c r="C298"/>
  <c r="G23" i="6"/>
  <c r="H23" s="1"/>
  <c r="C303" i="1"/>
  <c r="C316"/>
  <c r="C315"/>
  <c r="C297"/>
  <c r="J297"/>
  <c r="B296"/>
  <c r="J296" s="1"/>
  <c r="J293"/>
  <c r="C293"/>
  <c r="J292"/>
  <c r="J291"/>
  <c r="C295"/>
  <c r="C292"/>
  <c r="J290"/>
  <c r="C290"/>
  <c r="C289"/>
  <c r="J289"/>
  <c r="B288"/>
  <c r="J288" s="1"/>
  <c r="C294"/>
  <c r="J280"/>
  <c r="C291"/>
  <c r="J279"/>
  <c r="C279"/>
  <c r="J278"/>
  <c r="C278"/>
  <c r="B276"/>
  <c r="J276" s="1"/>
  <c r="C280"/>
  <c r="J277"/>
  <c r="G22" i="6"/>
  <c r="I22" s="1"/>
  <c r="J272" i="1"/>
  <c r="C272"/>
  <c r="C402"/>
  <c r="G20" i="6"/>
  <c r="I20" s="1"/>
  <c r="G21"/>
  <c r="H21" s="1"/>
  <c r="C281" i="1"/>
  <c r="C275"/>
  <c r="H22" i="6" l="1"/>
  <c r="O5" i="8"/>
  <c r="J5"/>
  <c r="F6"/>
  <c r="N5"/>
  <c r="L19"/>
  <c r="M19"/>
  <c r="E7"/>
  <c r="P6"/>
  <c r="I23" i="6"/>
  <c r="I21"/>
  <c r="H20"/>
  <c r="C274" i="1"/>
  <c r="C273"/>
  <c r="J271"/>
  <c r="J270"/>
  <c r="C270"/>
  <c r="J269"/>
  <c r="C269"/>
  <c r="J268"/>
  <c r="C268"/>
  <c r="C343"/>
  <c r="G26" i="6"/>
  <c r="I26" s="1"/>
  <c r="C271" i="1"/>
  <c r="J266"/>
  <c r="C266"/>
  <c r="J265"/>
  <c r="G29" i="6"/>
  <c r="G28"/>
  <c r="G27"/>
  <c r="G19"/>
  <c r="H19" s="1"/>
  <c r="G18"/>
  <c r="H18" s="1"/>
  <c r="R21" i="5"/>
  <c r="R20"/>
  <c r="Q20"/>
  <c r="P7"/>
  <c r="E3"/>
  <c r="E4" s="1"/>
  <c r="E5" s="1"/>
  <c r="E6" s="1"/>
  <c r="F8"/>
  <c r="D7"/>
  <c r="D8" s="1"/>
  <c r="H28" i="6" l="1"/>
  <c r="I28"/>
  <c r="H27"/>
  <c r="I27"/>
  <c r="H29"/>
  <c r="I29"/>
  <c r="Q8" i="5"/>
  <c r="R8"/>
  <c r="O8"/>
  <c r="E8" i="8"/>
  <c r="P7"/>
  <c r="L20"/>
  <c r="M20"/>
  <c r="F7"/>
  <c r="N6"/>
  <c r="O6"/>
  <c r="J6"/>
  <c r="N7" i="5"/>
  <c r="R7"/>
  <c r="J7"/>
  <c r="Q7"/>
  <c r="O7"/>
  <c r="H26" i="6"/>
  <c r="P8" i="5"/>
  <c r="N8"/>
  <c r="M29"/>
  <c r="K26"/>
  <c r="B264" i="1"/>
  <c r="J264" s="1"/>
  <c r="J261"/>
  <c r="C314"/>
  <c r="J255"/>
  <c r="J257"/>
  <c r="J258"/>
  <c r="J259"/>
  <c r="J260"/>
  <c r="J256"/>
  <c r="G15" i="6"/>
  <c r="H15" s="1"/>
  <c r="G14"/>
  <c r="H14" s="1"/>
  <c r="O7" i="8" l="1"/>
  <c r="J7"/>
  <c r="F8"/>
  <c r="N7"/>
  <c r="M21"/>
  <c r="E9"/>
  <c r="P9" s="1"/>
  <c r="P8"/>
  <c r="Q9" i="5"/>
  <c r="M26"/>
  <c r="O9"/>
  <c r="N9"/>
  <c r="C313" i="1"/>
  <c r="B254"/>
  <c r="J254" s="1"/>
  <c r="J250"/>
  <c r="C250"/>
  <c r="J249"/>
  <c r="C249"/>
  <c r="C326"/>
  <c r="C311"/>
  <c r="C261"/>
  <c r="C312"/>
  <c r="B248"/>
  <c r="J248" s="1"/>
  <c r="C310"/>
  <c r="C465"/>
  <c r="C464"/>
  <c r="C309"/>
  <c r="C308"/>
  <c r="C247"/>
  <c r="C307"/>
  <c r="C246"/>
  <c r="C463"/>
  <c r="C499"/>
  <c r="C321"/>
  <c r="C319"/>
  <c r="C320"/>
  <c r="C479"/>
  <c r="J245"/>
  <c r="B244"/>
  <c r="J244" s="1"/>
  <c r="C243"/>
  <c r="C354"/>
  <c r="J241"/>
  <c r="C241"/>
  <c r="C325"/>
  <c r="C245"/>
  <c r="B240"/>
  <c r="J240" s="1"/>
  <c r="C242"/>
  <c r="C238"/>
  <c r="F9" i="8" l="1"/>
  <c r="N8"/>
  <c r="O8"/>
  <c r="J8"/>
  <c r="C322" i="1"/>
  <c r="J236"/>
  <c r="J237"/>
  <c r="C306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433"/>
  <c r="C227"/>
  <c r="C239"/>
  <c r="C226"/>
  <c r="C356"/>
  <c r="C355"/>
  <c r="C224"/>
  <c r="C353"/>
  <c r="C352"/>
  <c r="C351"/>
  <c r="C349"/>
  <c r="C380"/>
  <c r="C222"/>
  <c r="J221"/>
  <c r="C221"/>
  <c r="C287"/>
  <c r="C379"/>
  <c r="C284"/>
  <c r="C265"/>
  <c r="C283"/>
  <c r="C262"/>
  <c r="C282"/>
  <c r="C263"/>
  <c r="C251"/>
  <c r="C466"/>
  <c r="C403"/>
  <c r="C286"/>
  <c r="C285"/>
  <c r="J219"/>
  <c r="J220"/>
  <c r="J218"/>
  <c r="J217"/>
  <c r="J212"/>
  <c r="J211"/>
  <c r="J209"/>
  <c r="J208"/>
  <c r="G13" i="6"/>
  <c r="H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G17" i="6"/>
  <c r="H17" s="1"/>
  <c r="G16"/>
  <c r="H16" s="1"/>
  <c r="J169" i="1"/>
  <c r="J170"/>
  <c r="J168"/>
  <c r="J167"/>
  <c r="J166"/>
  <c r="J164"/>
  <c r="J165"/>
  <c r="R2" i="5"/>
  <c r="J163" i="1"/>
  <c r="J162"/>
  <c r="J161"/>
  <c r="J160"/>
  <c r="R16" i="5"/>
  <c r="R17"/>
  <c r="R18"/>
  <c r="Q16"/>
  <c r="Q17"/>
  <c r="Q18"/>
  <c r="Q19"/>
  <c r="R15"/>
  <c r="Q15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G3" i="6"/>
  <c r="H3" s="1"/>
  <c r="G5"/>
  <c r="H5" s="1"/>
  <c r="G6"/>
  <c r="H6" s="1"/>
  <c r="G7"/>
  <c r="H7" s="1"/>
  <c r="G9"/>
  <c r="H9" s="1"/>
  <c r="G10"/>
  <c r="H10" s="1"/>
  <c r="G11"/>
  <c r="H11" s="1"/>
  <c r="G12"/>
  <c r="I12" s="1"/>
  <c r="G4"/>
  <c r="H4" s="1"/>
  <c r="G8"/>
  <c r="H8" s="1"/>
  <c r="G2"/>
  <c r="H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O9" i="8" l="1"/>
  <c r="J9"/>
  <c r="N9"/>
  <c r="H12" i="6"/>
  <c r="J235" i="1"/>
  <c r="I13" i="6"/>
  <c r="J8" i="5"/>
  <c r="E7"/>
  <c r="R19"/>
  <c r="K6"/>
  <c r="K7" s="1"/>
  <c r="J394" i="1"/>
</calcChain>
</file>

<file path=xl/sharedStrings.xml><?xml version="1.0" encoding="utf-8"?>
<sst xmlns="http://schemas.openxmlformats.org/spreadsheetml/2006/main" count="1383" uniqueCount="500">
  <si>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</si>
  <si>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</si>
  <si>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</si>
  <si>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</si>
  <si>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</si>
  <si>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</si>
  <si>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</si>
  <si>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</si>
  <si>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</si>
  <si>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</si>
  <si>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</si>
  <si>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</si>
  <si>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</si>
  <si>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</si>
  <si>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</si>
  <si>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</si>
  <si>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</si>
  <si>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</si>
  <si>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</si>
  <si>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</si>
  <si>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</si>
  <si>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</si>
  <si>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</si>
  <si>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</si>
  <si>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</si>
  <si>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</si>
  <si>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</si>
  <si>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</si>
  <si>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</si>
  <si>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</si>
  <si>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</si>
  <si>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</si>
  <si>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</si>
  <si>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</si>
  <si>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</si>
  <si>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</si>
  <si>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</si>
  <si>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</si>
  <si>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</si>
  <si>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</si>
  <si>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</si>
  <si>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</si>
  <si>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</si>
  <si>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</si>
  <si>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</si>
  <si>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</si>
  <si>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</si>
  <si>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</si>
  <si>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</si>
  <si>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</si>
  <si>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</si>
  <si>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</si>
  <si>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</si>
  <si>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</si>
  <si>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</si>
  <si>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</si>
  <si>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</si>
  <si>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</si>
  <si>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</si>
  <si>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</si>
  <si>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</si>
  <si>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</si>
  <si>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</si>
  <si>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</si>
  <si>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</si>
  <si>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</si>
  <si>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</si>
  <si>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</si>
  <si>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</si>
  <si>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</si>
  <si>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</si>
  <si>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</si>
  <si>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</si>
  <si>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</si>
  <si>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</si>
  <si>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</si>
  <si>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</si>
  <si>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</si>
  <si>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</si>
  <si>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</si>
  <si>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</si>
  <si>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</si>
  <si>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</si>
  <si>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</si>
  <si>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</si>
  <si>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</si>
  <si>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</si>
  <si>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</si>
  <si>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</si>
  <si>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</si>
  <si>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</si>
  <si>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</si>
  <si>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</si>
  <si>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</si>
  <si>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</si>
  <si>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</si>
  <si>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</si>
  <si>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</si>
  <si>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</si>
  <si>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</si>
  <si>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</si>
  <si>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</si>
  <si>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</si>
  <si>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</si>
  <si>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</si>
  <si>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</si>
  <si>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</si>
  <si>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</si>
  <si>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</si>
  <si>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</si>
  <si>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</si>
  <si>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</si>
  <si>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</si>
  <si>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</si>
  <si>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</si>
  <si>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</si>
  <si>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</si>
  <si>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</si>
  <si>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</si>
  <si>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</si>
  <si>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</si>
  <si>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</si>
  <si>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</si>
  <si>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</si>
  <si>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</si>
  <si>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</si>
  <si>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</si>
  <si>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</si>
  <si>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</si>
  <si>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</si>
  <si>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</si>
  <si>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</si>
  <si>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</si>
  <si>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</si>
  <si>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</si>
  <si>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</si>
  <si>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</si>
  <si>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</si>
  <si>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</si>
  <si>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</si>
  <si>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</si>
  <si>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</si>
  <si>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</si>
  <si>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</si>
  <si>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</si>
  <si>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</si>
  <si>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</si>
  <si>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</si>
  <si>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</si>
  <si>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</si>
  <si>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</si>
  <si>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</si>
  <si>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</si>
  <si>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</si>
  <si>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</si>
  <si>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</si>
  <si>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</si>
  <si>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</si>
  <si>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</si>
  <si>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</si>
  <si>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</si>
  <si>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</si>
  <si>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</si>
  <si>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</si>
  <si>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</si>
  <si>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</si>
  <si>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</si>
  <si>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</si>
  <si>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</si>
  <si>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</si>
  <si>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</si>
  <si>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</si>
  <si>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</si>
  <si>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</si>
  <si>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</si>
  <si>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</si>
  <si>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</si>
  <si>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</si>
  <si>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</si>
  <si>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</si>
  <si>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</si>
  <si>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</si>
  <si>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</si>
  <si>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</si>
  <si>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</si>
  <si>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</si>
  <si>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</si>
  <si>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</si>
  <si>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</si>
  <si>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</si>
  <si>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</si>
  <si>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</si>
  <si>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</si>
  <si>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</si>
  <si>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</si>
  <si>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</si>
  <si>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</si>
  <si>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</si>
  <si>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</si>
  <si>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</si>
  <si>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</si>
  <si>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</si>
  <si>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</si>
  <si>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</si>
  <si>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</si>
  <si>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</si>
  <si>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</si>
  <si>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</si>
  <si>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</si>
  <si>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</si>
  <si>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</si>
  <si>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</si>
  <si>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</si>
  <si>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</si>
  <si>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</si>
  <si>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</si>
  <si>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</si>
  <si>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</si>
  <si>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</si>
  <si>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</si>
  <si>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</si>
  <si>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</si>
  <si>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</si>
  <si>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</si>
  <si>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</si>
  <si>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</si>
  <si>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</si>
  <si>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</si>
  <si>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</si>
  <si>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</si>
  <si>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</si>
  <si>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</si>
  <si>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</si>
  <si>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</si>
  <si>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</si>
  <si>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</si>
  <si>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</si>
  <si>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</si>
  <si>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</si>
  <si>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</si>
  <si>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</si>
  <si>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</si>
  <si>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</si>
  <si>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</si>
  <si>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</si>
  <si>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</si>
  <si>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</si>
  <si>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</si>
  <si>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</si>
  <si>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</si>
  <si>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</si>
  <si>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</si>
  <si>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</si>
  <si>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</si>
  <si>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</si>
  <si>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</si>
  <si>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</si>
  <si>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</si>
  <si>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</si>
  <si>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</si>
  <si>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</si>
  <si>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</si>
  <si>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</si>
  <si>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</si>
  <si>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</si>
  <si>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</si>
  <si>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</si>
  <si>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</si>
  <si>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</si>
  <si>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</si>
  <si>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</si>
  <si>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</si>
  <si>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</si>
  <si>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</si>
  <si>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</si>
  <si>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</si>
  <si>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</si>
  <si>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</si>
  <si>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</si>
  <si>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</si>
  <si>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</si>
  <si>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</si>
  <si>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</si>
  <si>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</si>
  <si>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</si>
  <si>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</si>
  <si>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</si>
  <si>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</si>
  <si>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</si>
  <si>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</si>
  <si>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</si>
  <si>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</si>
  <si>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</si>
  <si>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</si>
  <si>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</si>
  <si>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</si>
  <si>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</si>
  <si>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</si>
  <si>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</si>
  <si>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</si>
  <si>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</si>
  <si>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</si>
  <si>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</si>
  <si>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</si>
  <si>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</si>
  <si>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</si>
  <si>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</si>
  <si>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</si>
  <si>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</si>
  <si>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</si>
  <si>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</si>
  <si>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</si>
  <si>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</si>
  <si>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</si>
  <si>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</si>
  <si>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</si>
  <si>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</si>
  <si>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</si>
  <si>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</si>
  <si>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</si>
  <si>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</si>
  <si>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</si>
  <si>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</si>
  <si>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</si>
  <si>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</si>
  <si>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</si>
  <si>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</si>
  <si>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</si>
  <si>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</si>
  <si>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</si>
  <si>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</si>
  <si>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</si>
  <si>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</si>
  <si>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</si>
  <si>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</si>
  <si>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</si>
  <si>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</si>
  <si>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</si>
  <si>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</si>
  <si>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</si>
  <si>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</si>
  <si>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</si>
  <si>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</si>
  <si>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</si>
  <si>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</si>
  <si>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</si>
  <si>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</si>
  <si>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</si>
  <si>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</si>
  <si>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</si>
  <si>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</si>
  <si>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</si>
  <si>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</si>
  <si>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</si>
  <si>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</si>
  <si>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</si>
  <si>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</si>
  <si>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</si>
  <si>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</si>
  <si>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</si>
  <si>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</si>
  <si>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</si>
  <si>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</si>
  <si>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</si>
  <si>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</si>
  <si>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</si>
  <si>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</si>
  <si>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</si>
  <si>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</si>
  <si>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</si>
  <si>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</si>
  <si>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</si>
  <si>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</si>
  <si>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</si>
  <si>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</si>
  <si>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</si>
  <si>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</si>
  <si>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</si>
  <si>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</si>
  <si>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</si>
  <si>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</si>
  <si>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</si>
  <si>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</si>
  <si>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</si>
  <si>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</si>
  <si>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</si>
  <si>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</si>
  <si>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</si>
  <si>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</si>
  <si>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</si>
  <si>
    <t>吳家基金</t>
    <phoneticPr fontId="1" type="noConversion"/>
  </si>
  <si>
    <t>張數</t>
    <phoneticPr fontId="1" type="noConversion"/>
  </si>
  <si>
    <t>參訪湯石成果(南院)</t>
    <phoneticPr fontId="1" type="noConversion"/>
  </si>
  <si>
    <t>(2383台光電)6張</t>
    <phoneticPr fontId="1" type="noConversion"/>
  </si>
  <si>
    <t>(2383台光電)4張</t>
    <phoneticPr fontId="1" type="noConversion"/>
  </si>
  <si>
    <t>(2383台光電)7張</t>
    <phoneticPr fontId="1" type="noConversion"/>
  </si>
  <si>
    <t>(4972湯石)11張</t>
    <phoneticPr fontId="1" type="noConversion"/>
  </si>
  <si>
    <t xml:space="preserve">2015匯豐信貸成本 </t>
    <phoneticPr fontId="1" type="noConversion"/>
  </si>
  <si>
    <t>(4119 旭富)1張</t>
    <phoneticPr fontId="1" type="noConversion"/>
  </si>
  <si>
    <t>(4972湯石)0.06張</t>
    <phoneticPr fontId="1" type="noConversion"/>
  </si>
  <si>
    <t>台光電</t>
    <phoneticPr fontId="1" type="noConversion"/>
  </si>
  <si>
    <t>湯石</t>
    <phoneticPr fontId="1" type="noConversion"/>
  </si>
  <si>
    <t>鴻海</t>
    <phoneticPr fontId="1" type="noConversion"/>
  </si>
  <si>
    <t>聯德</t>
    <phoneticPr fontId="1" type="noConversion"/>
  </si>
  <si>
    <t>湯石</t>
    <phoneticPr fontId="1" type="noConversion"/>
  </si>
  <si>
    <t>外匯入金3000成本+400媽媽借款息 認虧</t>
    <phoneticPr fontId="1" type="noConversion"/>
  </si>
  <si>
    <t>(4119旭富)5張</t>
    <phoneticPr fontId="1" type="noConversion"/>
  </si>
  <si>
    <t>湯石</t>
    <phoneticPr fontId="1" type="noConversion"/>
  </si>
  <si>
    <t>(4119旭富)1張</t>
    <phoneticPr fontId="1" type="noConversion"/>
  </si>
  <si>
    <t>(4119旭富) 股息</t>
    <phoneticPr fontId="1" type="noConversion"/>
  </si>
  <si>
    <t>(4972湯石) 股息</t>
    <phoneticPr fontId="1" type="noConversion"/>
  </si>
  <si>
    <t>(4972湯石 股票股利0.06*20股 ) 0.001張</t>
    <phoneticPr fontId="1" type="noConversion"/>
  </si>
  <si>
    <t>(4972湯石 股票股利34*20股 ) 0.68張</t>
    <phoneticPr fontId="1" type="noConversion"/>
  </si>
  <si>
    <t>(4972湯石 股票股利11.3*20股 ) 0.226張</t>
    <phoneticPr fontId="1" type="noConversion"/>
  </si>
  <si>
    <t>通訊行傭金退傭</t>
    <phoneticPr fontId="1" type="noConversion"/>
  </si>
  <si>
    <t>Sara Liang</t>
    <phoneticPr fontId="1" type="noConversion"/>
  </si>
  <si>
    <t>梁鳳真(一銀 轉帳)</t>
    <phoneticPr fontId="1" type="noConversion"/>
  </si>
  <si>
    <t>Grace Cheng</t>
    <phoneticPr fontId="1" type="noConversion"/>
  </si>
  <si>
    <t>穩懋減資</t>
    <phoneticPr fontId="1" type="noConversion"/>
  </si>
  <si>
    <t>(3105穩懋)694股  本來1張,減資後變成694股</t>
    <phoneticPr fontId="1" type="noConversion"/>
  </si>
  <si>
    <t>鄭君儀(中信 轉帳)</t>
    <phoneticPr fontId="1" type="noConversion"/>
  </si>
  <si>
    <t>2016信用貸款每月出資轉認股</t>
    <phoneticPr fontId="1" type="noConversion"/>
  </si>
  <si>
    <t>2017</t>
    <phoneticPr fontId="1" type="noConversion"/>
  </si>
  <si>
    <t>增資記股年分</t>
    <phoneticPr fontId="1" type="noConversion"/>
  </si>
  <si>
    <t>期末資本公積</t>
    <phoneticPr fontId="1" type="noConversion"/>
  </si>
  <si>
    <t xml:space="preserve">2016匯豐信貸成本 </t>
    <phoneticPr fontId="1" type="noConversion"/>
  </si>
  <si>
    <t>通訊行認列部分虧損</t>
    <phoneticPr fontId="1" type="noConversion"/>
  </si>
  <si>
    <t>(4972湯石)0.452張</t>
    <phoneticPr fontId="1" type="noConversion"/>
  </si>
  <si>
    <t>現金股利轉增資</t>
    <phoneticPr fontId="1" type="noConversion"/>
  </si>
  <si>
    <t>(4912)聯德借券收入(39張)</t>
    <phoneticPr fontId="1" type="noConversion"/>
  </si>
  <si>
    <t>(4912)聯德借券收入(8張)</t>
    <phoneticPr fontId="1" type="noConversion"/>
  </si>
  <si>
    <t>(3068美磊)2張</t>
    <phoneticPr fontId="1" type="noConversion"/>
  </si>
  <si>
    <t>(3068美磊)1張</t>
    <phoneticPr fontId="1" type="noConversion"/>
  </si>
  <si>
    <t>(4912聯德)10張</t>
    <phoneticPr fontId="1" type="noConversion"/>
  </si>
  <si>
    <t xml:space="preserve"> </t>
    <phoneticPr fontId="1" type="noConversion"/>
  </si>
  <si>
    <t>(4912)聯德53張</t>
    <phoneticPr fontId="1" type="noConversion"/>
  </si>
  <si>
    <t>通訊行認列剩餘10萬  投資通訊行(品讚總部)(總共63.5萬, 我37.5跟我姊6, 維修20)</t>
    <phoneticPr fontId="1" type="noConversion"/>
  </si>
  <si>
    <t>(3068美磊)3張</t>
    <phoneticPr fontId="1" type="noConversion"/>
  </si>
  <si>
    <t>2017信用貸款每月出資轉認股</t>
    <phoneticPr fontId="1" type="noConversion"/>
  </si>
  <si>
    <t>(5289 宜鼎)2張</t>
    <phoneticPr fontId="1" type="noConversion"/>
  </si>
  <si>
    <t>(3068美磊)6張</t>
    <phoneticPr fontId="1" type="noConversion"/>
  </si>
  <si>
    <t>(5289 宜鼎)3張</t>
    <phoneticPr fontId="1" type="noConversion"/>
  </si>
  <si>
    <t>(5289 宜鼎)5張</t>
    <phoneticPr fontId="1" type="noConversion"/>
  </si>
  <si>
    <t>(4119旭富)10張</t>
    <phoneticPr fontId="1" type="noConversion"/>
  </si>
  <si>
    <t>(4958 臻鼎)20張</t>
    <phoneticPr fontId="1" type="noConversion"/>
  </si>
  <si>
    <t>(5289 宜鼎)1張</t>
    <phoneticPr fontId="1" type="noConversion"/>
  </si>
  <si>
    <t>(5289 宜鼎)29張</t>
    <phoneticPr fontId="1" type="noConversion"/>
  </si>
  <si>
    <t>(4958 臻鼎)1張</t>
    <phoneticPr fontId="1" type="noConversion"/>
  </si>
  <si>
    <t>(4958 臻鼎)12張</t>
    <phoneticPr fontId="1" type="noConversion"/>
  </si>
  <si>
    <t>(3068 美磊)2張</t>
    <phoneticPr fontId="1" type="noConversion"/>
  </si>
  <si>
    <t>(3068 美磊)1張</t>
    <phoneticPr fontId="1" type="noConversion"/>
  </si>
  <si>
    <t>湯石未實現損益</t>
    <phoneticPr fontId="1" type="noConversion"/>
  </si>
  <si>
    <t>旭富未實現損益</t>
    <phoneticPr fontId="1" type="noConversion"/>
  </si>
  <si>
    <t>(3068 美磊)4張</t>
    <phoneticPr fontId="1" type="noConversion"/>
  </si>
  <si>
    <t>(3068 美磊)2張</t>
    <phoneticPr fontId="1" type="noConversion"/>
  </si>
  <si>
    <t>(3068 美磊)1張</t>
    <phoneticPr fontId="1" type="noConversion"/>
  </si>
  <si>
    <t>(3068 美磊)3張</t>
    <phoneticPr fontId="1" type="noConversion"/>
  </si>
  <si>
    <t>(4958 臻鼎)6張</t>
    <phoneticPr fontId="1" type="noConversion"/>
  </si>
  <si>
    <t>(4119旭富)3張</t>
    <phoneticPr fontId="1" type="noConversion"/>
  </si>
  <si>
    <t>(5289 宜鼎)5張</t>
    <phoneticPr fontId="1" type="noConversion"/>
  </si>
  <si>
    <t>(4119旭富)6張</t>
    <phoneticPr fontId="1" type="noConversion"/>
  </si>
  <si>
    <t>(3068 美磊)6張</t>
    <phoneticPr fontId="1" type="noConversion"/>
  </si>
  <si>
    <t>(589 宜鼎)6張</t>
    <phoneticPr fontId="1" type="noConversion"/>
  </si>
  <si>
    <t>(4119旭富)9張</t>
    <phoneticPr fontId="1" type="noConversion"/>
  </si>
  <si>
    <t>(589 宜鼎)23張</t>
    <phoneticPr fontId="1" type="noConversion"/>
  </si>
  <si>
    <t>(6202 盛群)3張</t>
    <phoneticPr fontId="1" type="noConversion"/>
  </si>
  <si>
    <t>(6202 盛群)26張</t>
    <phoneticPr fontId="1" type="noConversion"/>
  </si>
  <si>
    <t>(3068 美磊)9張</t>
    <phoneticPr fontId="1" type="noConversion"/>
  </si>
  <si>
    <t>(5289 宜鼎)20張</t>
    <phoneticPr fontId="1" type="noConversion"/>
  </si>
  <si>
    <t>(3068 美磊)14張</t>
    <phoneticPr fontId="1" type="noConversion"/>
  </si>
  <si>
    <t>(6202 盛群)2張</t>
    <phoneticPr fontId="1" type="noConversion"/>
  </si>
  <si>
    <t>(4912)旭富9張借券收入</t>
    <phoneticPr fontId="1" type="noConversion"/>
  </si>
  <si>
    <t>美磊未實現損益</t>
    <phoneticPr fontId="1" type="noConversion"/>
  </si>
  <si>
    <t>稅金</t>
    <phoneticPr fontId="1" type="noConversion"/>
  </si>
  <si>
    <t>退稅</t>
    <phoneticPr fontId="1" type="noConversion"/>
  </si>
  <si>
    <t>(5289 宜鼎)10張</t>
    <phoneticPr fontId="1" type="noConversion"/>
  </si>
  <si>
    <t>(3068 美磊)10張</t>
    <phoneticPr fontId="1" type="noConversion"/>
  </si>
  <si>
    <t>(3068 美磊)15張</t>
    <phoneticPr fontId="1" type="noConversion"/>
  </si>
  <si>
    <t>(3068 美磊)6張</t>
    <phoneticPr fontId="1" type="noConversion"/>
  </si>
  <si>
    <t>(3068 美磊)4張</t>
    <phoneticPr fontId="1" type="noConversion"/>
  </si>
  <si>
    <t>(3068 美磊)5張</t>
    <phoneticPr fontId="1" type="noConversion"/>
  </si>
  <si>
    <t>(3481 群創)3張</t>
    <phoneticPr fontId="1" type="noConversion"/>
  </si>
  <si>
    <t>購買汪汪關鍵點資料</t>
    <phoneticPr fontId="1" type="noConversion"/>
  </si>
  <si>
    <t>(2428 興勤)1張</t>
    <phoneticPr fontId="1" type="noConversion"/>
  </si>
  <si>
    <t>(8091 翔名)2張</t>
    <phoneticPr fontId="1" type="noConversion"/>
  </si>
  <si>
    <t>(8091 翔名)1張</t>
    <phoneticPr fontId="1" type="noConversion"/>
  </si>
  <si>
    <t>翔名未實現損益</t>
    <phoneticPr fontId="1" type="noConversion"/>
  </si>
  <si>
    <t>(4972湯石)8張</t>
    <phoneticPr fontId="1" type="noConversion"/>
  </si>
  <si>
    <t>(4972湯石)2張</t>
    <phoneticPr fontId="1" type="noConversion"/>
  </si>
  <si>
    <t>湯石</t>
    <phoneticPr fontId="1" type="noConversion"/>
  </si>
  <si>
    <t>美磊</t>
    <phoneticPr fontId="1" type="noConversion"/>
  </si>
  <si>
    <t>旭富</t>
    <phoneticPr fontId="1" type="noConversion"/>
  </si>
  <si>
    <t>湯石</t>
    <phoneticPr fontId="1" type="noConversion"/>
  </si>
  <si>
    <t>宜鼎</t>
    <phoneticPr fontId="1" type="noConversion"/>
  </si>
  <si>
    <t>盛群</t>
    <phoneticPr fontId="1" type="noConversion"/>
  </si>
  <si>
    <t>臻鼎</t>
    <phoneticPr fontId="1" type="noConversion"/>
  </si>
  <si>
    <t>臻鼎</t>
  </si>
  <si>
    <t>(5289 宜鼎)2張</t>
    <phoneticPr fontId="1" type="noConversion"/>
  </si>
  <si>
    <t>宜鼎未實現損益</t>
    <phoneticPr fontId="1" type="noConversion"/>
  </si>
  <si>
    <t>(8091 翔名)4張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</si>
</sst>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3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股票獲利曲線!$A$2:$A$9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股票獲利曲線!$B$2:$B$9</c:f>
              <c:numCache>
                <c:formatCode>General</c:formatCode>
                <c:ptCount val="8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395756</c:v>
                </c:pt>
                <c:pt idx="7">
                  <c:v>1891478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股票獲利曲線!$A$2:$A$9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股票獲利曲線!$D$2:$D$9</c:f>
              <c:numCache>
                <c:formatCode>General</c:formatCode>
                <c:ptCount val="8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2685754</c:v>
                </c:pt>
                <c:pt idx="7">
                  <c:v>4577232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股票獲利曲線!$A$2:$A$9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股票獲利曲線!$C$2:$C$9</c:f>
              <c:numCache>
                <c:formatCode>General</c:formatCode>
                <c:ptCount val="8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  <c:pt idx="7">
                  <c:v>0</c:v>
                </c:pt>
              </c:numCache>
            </c:numRef>
          </c:val>
        </c:ser>
        <c:marker val="1"/>
        <c:axId val="184941184"/>
        <c:axId val="191259392"/>
      </c:lineChart>
      <c:catAx>
        <c:axId val="184941184"/>
        <c:scaling>
          <c:orientation val="minMax"/>
        </c:scaling>
        <c:axPos val="b"/>
        <c:tickLblPos val="nextTo"/>
        <c:crossAx val="191259392"/>
        <c:crosses val="autoZero"/>
        <c:auto val="1"/>
        <c:lblAlgn val="ctr"/>
        <c:lblOffset val="100"/>
      </c:catAx>
      <c:valAx>
        <c:axId val="191259392"/>
        <c:scaling>
          <c:orientation val="minMax"/>
        </c:scaling>
        <c:axPos val="l"/>
        <c:majorGridlines/>
        <c:numFmt formatCode="General" sourceLinked="1"/>
        <c:tickLblPos val="nextTo"/>
        <c:crossAx val="184941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395756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2685754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</c:numCache>
            </c:numRef>
          </c:val>
        </c:ser>
        <c:marker val="1"/>
        <c:axId val="76279168"/>
        <c:axId val="76280960"/>
      </c:lineChart>
      <c:catAx>
        <c:axId val="76279168"/>
        <c:scaling>
          <c:orientation val="minMax"/>
        </c:scaling>
        <c:axPos val="b"/>
        <c:tickLblPos val="nextTo"/>
        <c:crossAx val="76280960"/>
        <c:crosses val="autoZero"/>
        <c:auto val="1"/>
        <c:lblAlgn val="ctr"/>
        <c:lblOffset val="100"/>
      </c:catAx>
      <c:valAx>
        <c:axId val="76280960"/>
        <c:scaling>
          <c:orientation val="minMax"/>
        </c:scaling>
        <c:axPos val="l"/>
        <c:majorGridlines/>
        <c:numFmt formatCode="General" sourceLinked="1"/>
        <c:tickLblPos val="nextTo"/>
        <c:crossAx val="762791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12</xdr:row>
      <xdr:rowOff>57151</xdr:rowOff>
    </xdr:from>
    <xdr:to>
      <xdr:col>9</xdr:col>
      <xdr:colOff>419100</xdr:colOff>
      <xdr:row>25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12</xdr:row>
      <xdr:rowOff>57151</xdr:rowOff>
    </xdr:from>
    <xdr:to>
      <xdr:col>9</xdr:col>
      <xdr:colOff>419100</xdr:colOff>
      <xdr:row>25</xdr:row>
      <xdr:rowOff>190501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93"/>
  <sheetViews>
    <sheetView tabSelected="1" topLeftCell="A493" zoomScale="85" zoomScaleNormal="85" workbookViewId="0">
      <selection activeCell="L531" sqref="L505:L531"/>
    </sheetView>
  </sheetViews>
  <sheetFormatPr defaultRowHeight="16.5"/>
  <cols>
    <col min="1" max="1" width="15.375" customWidth="1"/>
    <col min="2" max="2" width="10" bestFit="1" customWidth="1"/>
    <col min="3" max="3" width="10.87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2">
      <c r="A1" s="2" t="s">
        <v>0</v>
      </c>
      <c r="B1" s="2" t="s">
        <v>1</v>
      </c>
      <c r="C1" s="2" t="s">
        <v>358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  <c r="L1" s="2" t="s">
        <v>391</v>
      </c>
    </row>
    <row r="2" spans="1:12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2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2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2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2">
      <c r="A6" s="1">
        <v>40755</v>
      </c>
      <c r="K6" s="12" t="s">
        <v>51</v>
      </c>
    </row>
    <row r="7" spans="1:12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2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2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2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2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2">
      <c r="A12" s="1">
        <v>40981</v>
      </c>
      <c r="B12">
        <v>-31044</v>
      </c>
      <c r="F12" t="s">
        <v>72</v>
      </c>
      <c r="K12" t="s">
        <v>83</v>
      </c>
    </row>
    <row r="13" spans="1:12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2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2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2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273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270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270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270</v>
      </c>
    </row>
    <row r="121" spans="1:11">
      <c r="A121" s="1">
        <v>41865</v>
      </c>
      <c r="D121" s="1"/>
      <c r="J121">
        <v>9980</v>
      </c>
      <c r="K121" t="s">
        <v>276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280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274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286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287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288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389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299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272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272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242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242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300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269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269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269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269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242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269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269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269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269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269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269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269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269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269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274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304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305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305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298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306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312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311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271</v>
      </c>
    </row>
    <row r="163" spans="1:11">
      <c r="A163" s="1" t="s">
        <v>325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324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271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271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271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314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314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319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313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321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313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313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326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327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328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331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331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341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341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331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342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331</v>
      </c>
    </row>
    <row r="192" spans="1:11">
      <c r="A192" s="1">
        <v>41964</v>
      </c>
      <c r="D192" s="1">
        <v>42185</v>
      </c>
      <c r="J192">
        <v>-10196</v>
      </c>
      <c r="K192" s="12" t="s">
        <v>343</v>
      </c>
    </row>
    <row r="193" spans="1:11">
      <c r="A193" s="1">
        <v>41956</v>
      </c>
      <c r="D193" s="1">
        <v>42186</v>
      </c>
      <c r="J193">
        <v>-19427</v>
      </c>
      <c r="K193" s="12" t="s">
        <v>344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341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331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331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347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349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347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347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350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328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349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354</v>
      </c>
    </row>
    <row r="214" spans="1:11">
      <c r="A214" s="1">
        <v>42235</v>
      </c>
      <c r="D214" s="1"/>
      <c r="J214">
        <v>14032</v>
      </c>
      <c r="K214" t="s">
        <v>355</v>
      </c>
    </row>
    <row r="215" spans="1:11">
      <c r="A215" s="1">
        <v>42236</v>
      </c>
      <c r="D215" s="1"/>
      <c r="J215">
        <v>40760</v>
      </c>
      <c r="K215" t="s">
        <v>356</v>
      </c>
    </row>
    <row r="216" spans="1:11">
      <c r="A216" s="1">
        <v>42236</v>
      </c>
      <c r="D216" s="1"/>
      <c r="J216">
        <v>252157</v>
      </c>
      <c r="K216" t="s">
        <v>356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351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351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351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360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359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350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361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359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350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331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364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363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365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362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366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345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367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350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369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371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  <c r="K244" t="s">
        <v>403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350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374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374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  <c r="K248" t="s">
        <v>402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357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350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331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331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331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  <c r="K254" t="s">
        <v>401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275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376</v>
      </c>
    </row>
    <row r="257" spans="1:12">
      <c r="A257" s="1">
        <v>42369</v>
      </c>
      <c r="B257">
        <v>10196</v>
      </c>
      <c r="J257">
        <f t="shared" ref="J257:J260" si="6">-B257</f>
        <v>-10196</v>
      </c>
      <c r="K257" s="12" t="s">
        <v>377</v>
      </c>
    </row>
    <row r="258" spans="1:12" s="5" customFormat="1">
      <c r="A258" s="4">
        <v>42369</v>
      </c>
      <c r="B258" s="5">
        <v>15722</v>
      </c>
      <c r="J258" s="5">
        <f t="shared" si="6"/>
        <v>-15722</v>
      </c>
      <c r="K258" s="15" t="s">
        <v>397</v>
      </c>
    </row>
    <row r="259" spans="1:12">
      <c r="A259" s="1">
        <v>42369</v>
      </c>
      <c r="B259">
        <v>30384</v>
      </c>
      <c r="J259">
        <f t="shared" si="6"/>
        <v>-30384</v>
      </c>
      <c r="K259" s="12" t="s">
        <v>378</v>
      </c>
    </row>
    <row r="260" spans="1:12">
      <c r="A260" s="1">
        <v>42369</v>
      </c>
      <c r="B260">
        <v>5153</v>
      </c>
      <c r="J260">
        <f t="shared" si="6"/>
        <v>-5153</v>
      </c>
      <c r="K260" s="12" t="s">
        <v>379</v>
      </c>
    </row>
    <row r="261" spans="1:12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331</v>
      </c>
    </row>
    <row r="262" spans="1:12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331</v>
      </c>
    </row>
    <row r="263" spans="1:12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331</v>
      </c>
    </row>
    <row r="264" spans="1:12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>E264-B264</f>
        <v>5703</v>
      </c>
      <c r="K264" t="s">
        <v>401</v>
      </c>
    </row>
    <row r="265" spans="1:12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ref="J265:J266" si="7">E265-B265</f>
        <v>5920</v>
      </c>
      <c r="K265" t="s">
        <v>352</v>
      </c>
    </row>
    <row r="266" spans="1:12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385</v>
      </c>
    </row>
    <row r="267" spans="1:12">
      <c r="A267" s="1">
        <v>42370</v>
      </c>
      <c r="D267" s="1"/>
      <c r="J267" s="5"/>
      <c r="K267" s="12" t="s">
        <v>388</v>
      </c>
    </row>
    <row r="268" spans="1:12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385</v>
      </c>
    </row>
    <row r="269" spans="1:12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385</v>
      </c>
    </row>
    <row r="270" spans="1:12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385</v>
      </c>
    </row>
    <row r="271" spans="1:12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352</v>
      </c>
    </row>
    <row r="272" spans="1:12" ht="15.75" customHeight="1">
      <c r="A272" s="4">
        <v>42419</v>
      </c>
      <c r="B272" s="5">
        <v>116899</v>
      </c>
      <c r="C272" s="5">
        <f>B272/2</f>
        <v>58449.5</v>
      </c>
      <c r="D272" s="4">
        <v>42419</v>
      </c>
      <c r="E272" s="5">
        <v>117562</v>
      </c>
      <c r="F272" t="s">
        <v>7</v>
      </c>
      <c r="J272">
        <f>E272-B272</f>
        <v>663</v>
      </c>
      <c r="K272" t="s">
        <v>350</v>
      </c>
      <c r="L272">
        <v>2</v>
      </c>
    </row>
    <row r="273" spans="1:12" ht="15.75" customHeight="1">
      <c r="A273" s="4">
        <v>42399</v>
      </c>
      <c r="B273" s="5">
        <v>174148</v>
      </c>
      <c r="C273" s="5">
        <f>B273/3</f>
        <v>58049.333333333336</v>
      </c>
      <c r="D273" s="4"/>
      <c r="E273" s="5"/>
      <c r="F273" t="s">
        <v>7</v>
      </c>
      <c r="K273" t="s">
        <v>385</v>
      </c>
      <c r="L273">
        <v>3</v>
      </c>
    </row>
    <row r="274" spans="1:12" ht="15.75" customHeight="1">
      <c r="A274" s="4">
        <v>42403</v>
      </c>
      <c r="B274" s="5">
        <v>57849</v>
      </c>
      <c r="C274" s="5">
        <f>B274/1</f>
        <v>57849</v>
      </c>
      <c r="D274" s="4"/>
      <c r="E274" s="5"/>
      <c r="F274" t="s">
        <v>7</v>
      </c>
      <c r="K274" t="s">
        <v>347</v>
      </c>
      <c r="L274">
        <v>1</v>
      </c>
    </row>
    <row r="275" spans="1:12" ht="15.75" customHeight="1">
      <c r="A275" s="4">
        <v>42416</v>
      </c>
      <c r="B275" s="5">
        <v>114097</v>
      </c>
      <c r="C275" s="5">
        <f t="shared" ref="C275" si="8">B275/2</f>
        <v>57048.5</v>
      </c>
      <c r="D275" s="4"/>
      <c r="E275" s="5"/>
      <c r="F275" t="s">
        <v>7</v>
      </c>
      <c r="K275" t="s">
        <v>350</v>
      </c>
      <c r="L275">
        <v>2</v>
      </c>
    </row>
    <row r="276" spans="1:12">
      <c r="A276" s="1"/>
      <c r="B276" s="5">
        <f>SUM(B273:B275)</f>
        <v>346094</v>
      </c>
      <c r="C276" s="5"/>
      <c r="D276" s="4">
        <v>42422</v>
      </c>
      <c r="E276" s="5">
        <v>352686</v>
      </c>
      <c r="J276">
        <f>E276-B276</f>
        <v>6592</v>
      </c>
      <c r="K276" t="s">
        <v>400</v>
      </c>
    </row>
    <row r="277" spans="1:12">
      <c r="A277" s="1">
        <v>42420</v>
      </c>
      <c r="B277">
        <v>1880</v>
      </c>
      <c r="J277">
        <f>-B277</f>
        <v>-1880</v>
      </c>
      <c r="K277" s="12" t="s">
        <v>392</v>
      </c>
    </row>
    <row r="278" spans="1:12" ht="15.75" customHeight="1">
      <c r="A278" s="4">
        <v>42423</v>
      </c>
      <c r="B278" s="5">
        <v>234600</v>
      </c>
      <c r="C278" s="5">
        <f>B278/4</f>
        <v>58650</v>
      </c>
      <c r="D278" s="4">
        <v>42423</v>
      </c>
      <c r="E278" s="5">
        <v>234727</v>
      </c>
      <c r="F278" t="s">
        <v>7</v>
      </c>
      <c r="J278">
        <f>E278-B278</f>
        <v>127</v>
      </c>
      <c r="K278" t="s">
        <v>394</v>
      </c>
      <c r="L278">
        <v>4</v>
      </c>
    </row>
    <row r="279" spans="1:12" ht="15.75" customHeight="1">
      <c r="A279" s="4">
        <v>42424</v>
      </c>
      <c r="B279" s="5">
        <v>118701</v>
      </c>
      <c r="C279" s="5">
        <f>B279/2</f>
        <v>59350.5</v>
      </c>
      <c r="D279" s="4">
        <v>42424</v>
      </c>
      <c r="E279" s="5">
        <v>119538</v>
      </c>
      <c r="F279" t="s">
        <v>7</v>
      </c>
      <c r="J279">
        <f>E279-B279</f>
        <v>837</v>
      </c>
      <c r="K279" t="s">
        <v>350</v>
      </c>
      <c r="L279">
        <v>2</v>
      </c>
    </row>
    <row r="280" spans="1:12" ht="15.75" customHeight="1">
      <c r="A280" s="4">
        <v>42422</v>
      </c>
      <c r="B280" s="5">
        <v>356104</v>
      </c>
      <c r="C280" s="5">
        <f>B280/6</f>
        <v>59350.666666666664</v>
      </c>
      <c r="D280" s="4">
        <v>42424</v>
      </c>
      <c r="E280" s="5">
        <v>358613</v>
      </c>
      <c r="F280" t="s">
        <v>7</v>
      </c>
      <c r="J280">
        <f>E280-B280</f>
        <v>2509</v>
      </c>
      <c r="K280" t="s">
        <v>393</v>
      </c>
      <c r="L280">
        <v>6</v>
      </c>
    </row>
    <row r="281" spans="1:12">
      <c r="A281" s="1">
        <v>42417</v>
      </c>
      <c r="B281" s="5">
        <v>73462</v>
      </c>
      <c r="C281" s="5">
        <f>B281/2</f>
        <v>36731</v>
      </c>
      <c r="D281" s="4"/>
      <c r="E281" s="5"/>
      <c r="F281" t="s">
        <v>7</v>
      </c>
      <c r="K281" t="s">
        <v>341</v>
      </c>
      <c r="L281">
        <v>2</v>
      </c>
    </row>
    <row r="282" spans="1:12">
      <c r="A282" s="1">
        <v>42229</v>
      </c>
      <c r="B282" s="5">
        <v>34529</v>
      </c>
      <c r="C282" s="5">
        <f t="shared" ref="C282:C283" si="9">B282/1</f>
        <v>34529</v>
      </c>
      <c r="D282" s="4"/>
      <c r="E282" s="5"/>
      <c r="F282" t="s">
        <v>7</v>
      </c>
      <c r="K282" t="s">
        <v>331</v>
      </c>
      <c r="L282">
        <v>1</v>
      </c>
    </row>
    <row r="283" spans="1:12">
      <c r="A283" s="1">
        <v>42230</v>
      </c>
      <c r="B283" s="5">
        <v>34329</v>
      </c>
      <c r="C283" s="5">
        <f t="shared" si="9"/>
        <v>34329</v>
      </c>
      <c r="D283" s="4"/>
      <c r="E283" s="5"/>
      <c r="F283" t="s">
        <v>7</v>
      </c>
      <c r="K283" t="s">
        <v>331</v>
      </c>
      <c r="L283">
        <v>1</v>
      </c>
    </row>
    <row r="284" spans="1:12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331</v>
      </c>
      <c r="L284">
        <v>1</v>
      </c>
    </row>
    <row r="285" spans="1:12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357</v>
      </c>
      <c r="L285">
        <v>3</v>
      </c>
    </row>
    <row r="286" spans="1:12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331</v>
      </c>
      <c r="L286">
        <v>1</v>
      </c>
    </row>
    <row r="287" spans="1:12">
      <c r="A287" s="1">
        <v>42226</v>
      </c>
      <c r="B287" s="5">
        <v>33778</v>
      </c>
      <c r="C287" s="5">
        <f>B287/1</f>
        <v>33778</v>
      </c>
      <c r="D287" s="4"/>
      <c r="E287" s="5"/>
      <c r="F287" t="s">
        <v>7</v>
      </c>
      <c r="K287" t="s">
        <v>331</v>
      </c>
      <c r="L287">
        <v>1</v>
      </c>
    </row>
    <row r="288" spans="1:12">
      <c r="A288" s="1"/>
      <c r="B288" s="5">
        <f>SUM(B281:B287)</f>
        <v>345792</v>
      </c>
      <c r="C288" s="5"/>
      <c r="D288" s="4">
        <v>42424</v>
      </c>
      <c r="E288" s="5">
        <v>369372</v>
      </c>
      <c r="J288">
        <f t="shared" ref="J288:J293" si="10">E288-B288</f>
        <v>23580</v>
      </c>
      <c r="K288" t="s">
        <v>401</v>
      </c>
    </row>
    <row r="289" spans="1:12" ht="15.75" customHeight="1">
      <c r="A289" s="4">
        <v>42425</v>
      </c>
      <c r="B289" s="5">
        <v>177151</v>
      </c>
      <c r="C289" s="5">
        <f>B289/3</f>
        <v>59050.333333333336</v>
      </c>
      <c r="D289" s="4">
        <v>42425</v>
      </c>
      <c r="E289" s="5">
        <v>178709</v>
      </c>
      <c r="F289" t="s">
        <v>7</v>
      </c>
      <c r="J289">
        <f t="shared" si="10"/>
        <v>1558</v>
      </c>
      <c r="K289" t="s">
        <v>385</v>
      </c>
      <c r="L289">
        <v>3</v>
      </c>
    </row>
    <row r="290" spans="1:12" ht="15.75" customHeight="1">
      <c r="A290" s="4">
        <v>42425</v>
      </c>
      <c r="B290" s="5">
        <v>181054</v>
      </c>
      <c r="C290" s="5">
        <f>B290/3</f>
        <v>60351.333333333336</v>
      </c>
      <c r="D290" s="4">
        <v>42426</v>
      </c>
      <c r="E290" s="5">
        <v>181100</v>
      </c>
      <c r="F290" t="s">
        <v>7</v>
      </c>
      <c r="J290">
        <f t="shared" si="10"/>
        <v>46</v>
      </c>
      <c r="K290" t="s">
        <v>385</v>
      </c>
      <c r="L290">
        <v>3</v>
      </c>
    </row>
    <row r="291" spans="1:12" ht="15.75" customHeight="1">
      <c r="A291" s="4">
        <v>42424</v>
      </c>
      <c r="B291" s="5">
        <v>363310</v>
      </c>
      <c r="C291" s="5">
        <f>B291/6</f>
        <v>60551.666666666664</v>
      </c>
      <c r="D291" s="4">
        <v>42430</v>
      </c>
      <c r="E291" s="5">
        <v>363395</v>
      </c>
      <c r="F291" t="s">
        <v>7</v>
      </c>
      <c r="J291">
        <f t="shared" si="10"/>
        <v>85</v>
      </c>
      <c r="K291" t="s">
        <v>393</v>
      </c>
      <c r="L291">
        <v>6</v>
      </c>
    </row>
    <row r="292" spans="1:12" ht="15.75" customHeight="1">
      <c r="A292" s="4">
        <v>42430</v>
      </c>
      <c r="B292" s="5">
        <v>364511</v>
      </c>
      <c r="C292" s="5">
        <f>B292/6</f>
        <v>60751.833333333336</v>
      </c>
      <c r="D292" s="4">
        <v>42430</v>
      </c>
      <c r="E292" s="5">
        <v>364590</v>
      </c>
      <c r="F292" t="s">
        <v>7</v>
      </c>
      <c r="J292">
        <f t="shared" si="10"/>
        <v>79</v>
      </c>
      <c r="K292" t="s">
        <v>393</v>
      </c>
      <c r="L292">
        <v>6</v>
      </c>
    </row>
    <row r="293" spans="1:12" ht="15.75" customHeight="1">
      <c r="A293" s="4">
        <v>42431</v>
      </c>
      <c r="B293" s="5">
        <v>371117</v>
      </c>
      <c r="C293" s="5">
        <f>B293/6</f>
        <v>61852.833333333336</v>
      </c>
      <c r="D293" s="4">
        <v>42431</v>
      </c>
      <c r="E293" s="5">
        <v>372360</v>
      </c>
      <c r="F293" t="s">
        <v>7</v>
      </c>
      <c r="J293">
        <f t="shared" si="10"/>
        <v>1243</v>
      </c>
      <c r="K293" t="s">
        <v>393</v>
      </c>
      <c r="L293">
        <v>6</v>
      </c>
    </row>
    <row r="294" spans="1:12" ht="15.75" customHeight="1">
      <c r="A294" s="4">
        <v>42424</v>
      </c>
      <c r="B294" s="5">
        <v>360908</v>
      </c>
      <c r="C294" s="5">
        <f>B294/6</f>
        <v>60151.333333333336</v>
      </c>
      <c r="D294" s="4"/>
      <c r="E294" s="5"/>
      <c r="F294" t="s">
        <v>7</v>
      </c>
      <c r="K294" t="s">
        <v>393</v>
      </c>
      <c r="L294">
        <v>6</v>
      </c>
    </row>
    <row r="295" spans="1:12" ht="15.75" customHeight="1">
      <c r="A295" s="4">
        <v>42430</v>
      </c>
      <c r="B295" s="5">
        <v>366312</v>
      </c>
      <c r="C295" s="5">
        <f>B295/6</f>
        <v>61052</v>
      </c>
      <c r="D295" s="4"/>
      <c r="E295" s="5"/>
      <c r="F295" t="s">
        <v>7</v>
      </c>
      <c r="K295" t="s">
        <v>393</v>
      </c>
      <c r="L295">
        <v>6</v>
      </c>
    </row>
    <row r="296" spans="1:12" ht="15.75" customHeight="1">
      <c r="A296" s="4"/>
      <c r="B296" s="5">
        <f>SUM(B294:B295)</f>
        <v>727220</v>
      </c>
      <c r="C296" s="5"/>
      <c r="D296" s="4">
        <v>42432</v>
      </c>
      <c r="E296" s="5">
        <v>729179</v>
      </c>
      <c r="J296">
        <f>E296-B296</f>
        <v>1959</v>
      </c>
      <c r="K296" t="s">
        <v>400</v>
      </c>
    </row>
    <row r="297" spans="1:12" ht="15.75" customHeight="1">
      <c r="A297" s="4">
        <v>42432</v>
      </c>
      <c r="B297" s="5">
        <v>422460</v>
      </c>
      <c r="C297" s="5">
        <f>B297/7</f>
        <v>60351.428571428572</v>
      </c>
      <c r="D297" s="4">
        <v>42432</v>
      </c>
      <c r="E297" s="5">
        <v>423263</v>
      </c>
      <c r="F297" t="s">
        <v>7</v>
      </c>
      <c r="J297">
        <f t="shared" ref="J297:J299" si="11">E297-B297</f>
        <v>803</v>
      </c>
      <c r="K297" t="s">
        <v>395</v>
      </c>
      <c r="L297">
        <v>7</v>
      </c>
    </row>
    <row r="298" spans="1:12" ht="15.75" customHeight="1">
      <c r="A298" s="4">
        <v>42446</v>
      </c>
      <c r="B298" s="5">
        <v>218186</v>
      </c>
      <c r="C298" s="5">
        <f>B298/4</f>
        <v>54546.5</v>
      </c>
      <c r="D298" s="4">
        <v>42446</v>
      </c>
      <c r="E298" s="5">
        <v>218755</v>
      </c>
      <c r="F298" t="s">
        <v>7</v>
      </c>
      <c r="J298">
        <f t="shared" si="11"/>
        <v>569</v>
      </c>
      <c r="K298" t="s">
        <v>394</v>
      </c>
      <c r="L298">
        <v>4</v>
      </c>
    </row>
    <row r="299" spans="1:12">
      <c r="A299" s="1">
        <v>42454</v>
      </c>
      <c r="B299" s="5">
        <v>84621</v>
      </c>
      <c r="C299" s="5">
        <f>B299/2</f>
        <v>42310.5</v>
      </c>
      <c r="D299" s="1">
        <v>42454</v>
      </c>
      <c r="E299" s="5">
        <v>84985</v>
      </c>
      <c r="F299" t="s">
        <v>7</v>
      </c>
      <c r="J299">
        <f t="shared" si="11"/>
        <v>364</v>
      </c>
      <c r="K299" t="s">
        <v>341</v>
      </c>
      <c r="L299">
        <v>2</v>
      </c>
    </row>
    <row r="300" spans="1:12">
      <c r="A300" s="1">
        <v>42454</v>
      </c>
      <c r="B300" s="5">
        <v>473151</v>
      </c>
      <c r="C300" s="5">
        <f>B300/11</f>
        <v>43013.727272727272</v>
      </c>
      <c r="D300" s="1">
        <v>42467</v>
      </c>
      <c r="E300" s="5">
        <v>474533</v>
      </c>
      <c r="F300" t="s">
        <v>7</v>
      </c>
      <c r="J300">
        <f t="shared" ref="J300:J301" si="12">E300-B300</f>
        <v>1382</v>
      </c>
      <c r="K300" t="s">
        <v>396</v>
      </c>
      <c r="L300">
        <v>11</v>
      </c>
    </row>
    <row r="301" spans="1:12">
      <c r="A301" s="1">
        <v>42481</v>
      </c>
      <c r="B301" s="5">
        <v>84171</v>
      </c>
      <c r="C301" s="5">
        <f>B301/2</f>
        <v>42085.5</v>
      </c>
      <c r="D301" s="1">
        <v>42481</v>
      </c>
      <c r="E301" s="5">
        <v>84580</v>
      </c>
      <c r="F301" t="s">
        <v>7</v>
      </c>
      <c r="J301">
        <f t="shared" si="12"/>
        <v>409</v>
      </c>
      <c r="K301" t="s">
        <v>341</v>
      </c>
      <c r="L301">
        <v>2</v>
      </c>
    </row>
    <row r="302" spans="1:12">
      <c r="A302" s="1">
        <v>42500</v>
      </c>
      <c r="B302" s="5">
        <v>41785</v>
      </c>
      <c r="C302" s="5">
        <f>B302/1</f>
        <v>41785</v>
      </c>
      <c r="D302" s="1">
        <v>42500</v>
      </c>
      <c r="E302" s="5">
        <v>42144</v>
      </c>
      <c r="F302" t="s">
        <v>7</v>
      </c>
      <c r="J302">
        <f t="shared" ref="J302:J305" si="13">E302-B302</f>
        <v>359</v>
      </c>
      <c r="K302" t="s">
        <v>331</v>
      </c>
      <c r="L302">
        <v>1</v>
      </c>
    </row>
    <row r="303" spans="1:12" ht="15.75" customHeight="1">
      <c r="A303" s="4">
        <v>42439</v>
      </c>
      <c r="B303" s="5">
        <v>114697</v>
      </c>
      <c r="C303" s="5">
        <f t="shared" ref="C303" si="14">B303/2</f>
        <v>57348.5</v>
      </c>
      <c r="D303" s="4">
        <v>42503</v>
      </c>
      <c r="E303" s="5">
        <v>123722</v>
      </c>
      <c r="F303" t="s">
        <v>7</v>
      </c>
      <c r="J303">
        <f t="shared" si="13"/>
        <v>9025</v>
      </c>
      <c r="K303" t="s">
        <v>350</v>
      </c>
      <c r="L303">
        <v>2</v>
      </c>
    </row>
    <row r="304" spans="1:12">
      <c r="A304" s="1">
        <v>42516</v>
      </c>
      <c r="B304">
        <v>160114</v>
      </c>
      <c r="C304" s="5">
        <f>B304/2</f>
        <v>80057</v>
      </c>
      <c r="D304" s="1">
        <v>42516</v>
      </c>
      <c r="E304" s="5">
        <v>160779</v>
      </c>
      <c r="F304" t="s">
        <v>7</v>
      </c>
      <c r="J304">
        <f t="shared" si="13"/>
        <v>665</v>
      </c>
      <c r="K304" t="s">
        <v>342</v>
      </c>
      <c r="L304">
        <v>2</v>
      </c>
    </row>
    <row r="305" spans="1:12">
      <c r="A305" s="1">
        <v>42503</v>
      </c>
      <c r="B305" s="5">
        <v>83772</v>
      </c>
      <c r="C305" s="5">
        <f>B305/2</f>
        <v>41886</v>
      </c>
      <c r="D305" s="4">
        <v>42517</v>
      </c>
      <c r="E305" s="5">
        <v>85832</v>
      </c>
      <c r="F305" t="s">
        <v>7</v>
      </c>
      <c r="J305">
        <f t="shared" si="13"/>
        <v>2060</v>
      </c>
      <c r="K305" t="s">
        <v>341</v>
      </c>
      <c r="L305">
        <v>2</v>
      </c>
    </row>
    <row r="306" spans="1:12">
      <c r="A306" s="4">
        <v>42293</v>
      </c>
      <c r="B306" s="5">
        <v>355252</v>
      </c>
      <c r="C306" s="5">
        <f>B306/5</f>
        <v>71050.399999999994</v>
      </c>
      <c r="D306" s="4"/>
      <c r="E306" s="5"/>
      <c r="F306" t="s">
        <v>7</v>
      </c>
      <c r="K306" t="s">
        <v>373</v>
      </c>
      <c r="L306">
        <v>5</v>
      </c>
    </row>
    <row r="307" spans="1:12">
      <c r="A307" s="4">
        <v>42321</v>
      </c>
      <c r="B307" s="5">
        <v>128691</v>
      </c>
      <c r="C307" s="5">
        <f t="shared" ref="C307:C312" si="15">B307/2</f>
        <v>64345.5</v>
      </c>
      <c r="D307" s="4"/>
      <c r="E307" s="5"/>
      <c r="F307" t="s">
        <v>7</v>
      </c>
      <c r="K307" t="s">
        <v>350</v>
      </c>
      <c r="L307">
        <v>2</v>
      </c>
    </row>
    <row r="308" spans="1:12">
      <c r="A308" s="4">
        <v>42325</v>
      </c>
      <c r="B308" s="5">
        <v>131493</v>
      </c>
      <c r="C308" s="5">
        <f t="shared" si="15"/>
        <v>65746.5</v>
      </c>
      <c r="D308" s="4"/>
      <c r="E308" s="5"/>
      <c r="F308" t="s">
        <v>7</v>
      </c>
      <c r="K308" t="s">
        <v>350</v>
      </c>
      <c r="L308">
        <v>2</v>
      </c>
    </row>
    <row r="309" spans="1:12">
      <c r="A309" s="4">
        <v>42325</v>
      </c>
      <c r="B309" s="5">
        <v>132094</v>
      </c>
      <c r="C309" s="5">
        <f t="shared" si="15"/>
        <v>66047</v>
      </c>
      <c r="D309" s="4"/>
      <c r="E309" s="5"/>
      <c r="F309" t="s">
        <v>7</v>
      </c>
      <c r="K309" t="s">
        <v>350</v>
      </c>
      <c r="L309">
        <v>2</v>
      </c>
    </row>
    <row r="310" spans="1:12" ht="15.75" customHeight="1">
      <c r="A310" s="4">
        <v>42326</v>
      </c>
      <c r="B310" s="5">
        <v>131693</v>
      </c>
      <c r="C310" s="5">
        <f t="shared" si="15"/>
        <v>65846.5</v>
      </c>
      <c r="D310" s="4"/>
      <c r="E310" s="5"/>
      <c r="F310" t="s">
        <v>7</v>
      </c>
      <c r="K310" t="s">
        <v>350</v>
      </c>
      <c r="L310">
        <v>2</v>
      </c>
    </row>
    <row r="311" spans="1:12" ht="15.75" customHeight="1">
      <c r="A311" s="4">
        <v>42334</v>
      </c>
      <c r="B311" s="5">
        <v>125889</v>
      </c>
      <c r="C311" s="5">
        <f t="shared" si="15"/>
        <v>62944.5</v>
      </c>
      <c r="D311" s="4"/>
      <c r="E311" s="5"/>
      <c r="F311" t="s">
        <v>7</v>
      </c>
      <c r="K311" t="s">
        <v>350</v>
      </c>
      <c r="L311">
        <v>2</v>
      </c>
    </row>
    <row r="312" spans="1:12" ht="15.75" customHeight="1">
      <c r="A312" s="4">
        <v>42339</v>
      </c>
      <c r="B312" s="5">
        <v>130092</v>
      </c>
      <c r="C312" s="5">
        <f t="shared" si="15"/>
        <v>65046</v>
      </c>
      <c r="D312" s="4"/>
      <c r="E312" s="5"/>
      <c r="F312" t="s">
        <v>7</v>
      </c>
      <c r="K312" t="s">
        <v>350</v>
      </c>
      <c r="L312">
        <v>2</v>
      </c>
    </row>
    <row r="313" spans="1:12" ht="15.75" customHeight="1">
      <c r="A313" s="4">
        <v>42342</v>
      </c>
      <c r="B313" s="5">
        <v>127891</v>
      </c>
      <c r="C313" s="5">
        <f t="shared" ref="C313" si="16">B313/2</f>
        <v>63945.5</v>
      </c>
      <c r="D313" s="4"/>
      <c r="E313" s="5"/>
      <c r="F313" t="s">
        <v>7</v>
      </c>
      <c r="K313" t="s">
        <v>350</v>
      </c>
      <c r="L313">
        <v>2</v>
      </c>
    </row>
    <row r="314" spans="1:12" ht="15.75" customHeight="1">
      <c r="A314" s="4">
        <v>42345</v>
      </c>
      <c r="B314" s="5">
        <v>128691</v>
      </c>
      <c r="C314" s="5">
        <f t="shared" ref="C314" si="17">B314/2</f>
        <v>64345.5</v>
      </c>
      <c r="D314" s="4"/>
      <c r="E314" s="5"/>
      <c r="F314" t="s">
        <v>7</v>
      </c>
      <c r="K314" t="s">
        <v>350</v>
      </c>
      <c r="L314">
        <v>2</v>
      </c>
    </row>
    <row r="315" spans="1:12" ht="15.75" customHeight="1">
      <c r="A315" s="4">
        <v>42432</v>
      </c>
      <c r="B315" s="5">
        <v>368714</v>
      </c>
      <c r="C315" s="5">
        <f>B315/6</f>
        <v>61452.333333333336</v>
      </c>
      <c r="D315" s="4"/>
      <c r="E315" s="5"/>
      <c r="F315" t="s">
        <v>7</v>
      </c>
      <c r="K315" t="s">
        <v>393</v>
      </c>
      <c r="L315">
        <v>6</v>
      </c>
    </row>
    <row r="316" spans="1:12" ht="15.75" customHeight="1">
      <c r="A316" s="4">
        <v>42432</v>
      </c>
      <c r="B316" s="5">
        <v>371616</v>
      </c>
      <c r="C316" s="5">
        <f>B316/6</f>
        <v>61936</v>
      </c>
      <c r="D316" s="4"/>
      <c r="E316" s="5"/>
      <c r="F316" t="s">
        <v>7</v>
      </c>
      <c r="K316" t="s">
        <v>393</v>
      </c>
      <c r="L316">
        <v>6</v>
      </c>
    </row>
    <row r="317" spans="1:12" ht="15.75" customHeight="1">
      <c r="A317" s="4"/>
      <c r="B317" s="5">
        <f>SUM(B306:B316)</f>
        <v>2132116</v>
      </c>
      <c r="C317" s="5"/>
      <c r="D317" s="4">
        <v>42545</v>
      </c>
      <c r="E317" s="5">
        <v>2365049</v>
      </c>
      <c r="J317">
        <f>E317-B317</f>
        <v>232933</v>
      </c>
      <c r="K317" t="s">
        <v>400</v>
      </c>
    </row>
    <row r="318" spans="1:12">
      <c r="A318" s="1">
        <v>42503</v>
      </c>
      <c r="B318" s="5">
        <v>84560</v>
      </c>
      <c r="C318" s="5">
        <f>B318/1</f>
        <v>84560</v>
      </c>
      <c r="D318" s="4">
        <v>42545</v>
      </c>
      <c r="E318" s="5">
        <v>88471</v>
      </c>
      <c r="F318" t="s">
        <v>7</v>
      </c>
      <c r="J318">
        <f>E318-B318</f>
        <v>3911</v>
      </c>
      <c r="K318" t="s">
        <v>398</v>
      </c>
      <c r="L318">
        <v>1</v>
      </c>
    </row>
    <row r="319" spans="1:12">
      <c r="A319" s="1">
        <v>42312</v>
      </c>
      <c r="B319" s="5">
        <v>81658</v>
      </c>
      <c r="C319" s="5">
        <f>B319/2</f>
        <v>40829</v>
      </c>
      <c r="D319" s="4"/>
      <c r="E319" s="5"/>
      <c r="F319" t="s">
        <v>7</v>
      </c>
      <c r="K319" t="s">
        <v>341</v>
      </c>
      <c r="L319">
        <v>2</v>
      </c>
    </row>
    <row r="320" spans="1:12">
      <c r="A320" s="1">
        <v>42312</v>
      </c>
      <c r="B320" s="5">
        <v>40728</v>
      </c>
      <c r="C320" s="5">
        <f>B320/1</f>
        <v>40728</v>
      </c>
      <c r="D320" s="4"/>
      <c r="E320" s="5"/>
      <c r="F320" t="s">
        <v>7</v>
      </c>
      <c r="K320" t="s">
        <v>372</v>
      </c>
      <c r="L320">
        <v>1</v>
      </c>
    </row>
    <row r="321" spans="1:12">
      <c r="A321" s="1">
        <v>42313</v>
      </c>
      <c r="B321" s="5">
        <v>40728</v>
      </c>
      <c r="C321" s="5">
        <f>B321/1</f>
        <v>40728</v>
      </c>
      <c r="D321" s="4"/>
      <c r="E321" s="5"/>
      <c r="F321" t="s">
        <v>7</v>
      </c>
      <c r="K321" t="s">
        <v>331</v>
      </c>
      <c r="L321">
        <v>1</v>
      </c>
    </row>
    <row r="322" spans="1:12">
      <c r="A322" s="1">
        <v>42305</v>
      </c>
      <c r="B322" s="5">
        <v>159913</v>
      </c>
      <c r="C322" s="5">
        <f>B322/4</f>
        <v>39978.25</v>
      </c>
      <c r="D322" s="4"/>
      <c r="E322" s="5"/>
      <c r="F322" t="s">
        <v>7</v>
      </c>
      <c r="K322" t="s">
        <v>348</v>
      </c>
      <c r="L322">
        <v>4</v>
      </c>
    </row>
    <row r="323" spans="1:12">
      <c r="A323" s="1"/>
      <c r="B323" s="5">
        <v>323027</v>
      </c>
      <c r="C323" s="5"/>
      <c r="D323" s="4">
        <v>42545</v>
      </c>
      <c r="E323" s="5">
        <v>334753</v>
      </c>
      <c r="J323">
        <f>E323-B323</f>
        <v>11726</v>
      </c>
      <c r="K323" t="s">
        <v>404</v>
      </c>
    </row>
    <row r="324" spans="1:12">
      <c r="A324" s="1">
        <v>41821</v>
      </c>
      <c r="B324">
        <v>91774</v>
      </c>
      <c r="D324" s="4">
        <v>42545</v>
      </c>
      <c r="E324">
        <v>0</v>
      </c>
      <c r="J324">
        <f>E324-B324</f>
        <v>-91774</v>
      </c>
      <c r="K324" t="s">
        <v>405</v>
      </c>
    </row>
    <row r="325" spans="1:12">
      <c r="A325" s="4">
        <v>42306</v>
      </c>
      <c r="B325" s="5">
        <v>354852</v>
      </c>
      <c r="C325" s="5">
        <f>B325/9</f>
        <v>39428</v>
      </c>
      <c r="D325" s="4"/>
      <c r="E325" s="5"/>
      <c r="F325" t="s">
        <v>7</v>
      </c>
      <c r="K325" t="s">
        <v>368</v>
      </c>
      <c r="L325">
        <v>9</v>
      </c>
    </row>
    <row r="326" spans="1:12">
      <c r="A326" s="1">
        <v>42312</v>
      </c>
      <c r="B326" s="5">
        <v>77354</v>
      </c>
      <c r="C326" s="5">
        <f>B326/2</f>
        <v>38677</v>
      </c>
      <c r="D326" s="4"/>
      <c r="E326" s="5"/>
      <c r="F326" t="s">
        <v>7</v>
      </c>
      <c r="K326" t="s">
        <v>341</v>
      </c>
      <c r="L326">
        <v>2</v>
      </c>
    </row>
    <row r="327" spans="1:12">
      <c r="A327" s="1"/>
      <c r="B327" s="5">
        <v>432206</v>
      </c>
      <c r="D327" s="4">
        <v>42580</v>
      </c>
      <c r="E327">
        <v>436108</v>
      </c>
      <c r="J327">
        <f>E327-B327</f>
        <v>3902</v>
      </c>
      <c r="K327" t="s">
        <v>407</v>
      </c>
    </row>
    <row r="328" spans="1:12">
      <c r="A328" s="1">
        <v>42594</v>
      </c>
      <c r="D328" s="1"/>
      <c r="J328">
        <v>281990</v>
      </c>
      <c r="K328" t="s">
        <v>356</v>
      </c>
    </row>
    <row r="329" spans="1:12">
      <c r="A329" s="1">
        <v>42594</v>
      </c>
      <c r="D329" s="1"/>
      <c r="J329">
        <v>60314</v>
      </c>
      <c r="K329" t="s">
        <v>356</v>
      </c>
    </row>
    <row r="330" spans="1:12">
      <c r="A330" s="1">
        <v>42601</v>
      </c>
      <c r="D330" s="1"/>
      <c r="J330">
        <v>71369</v>
      </c>
      <c r="K330" t="s">
        <v>409</v>
      </c>
    </row>
    <row r="331" spans="1:12">
      <c r="A331" s="1">
        <v>42611</v>
      </c>
      <c r="D331" s="1"/>
      <c r="J331">
        <v>93117</v>
      </c>
      <c r="K331" t="s">
        <v>410</v>
      </c>
    </row>
    <row r="332" spans="1:12">
      <c r="A332" s="1">
        <v>42611</v>
      </c>
      <c r="D332" s="1"/>
      <c r="J332">
        <v>30941</v>
      </c>
      <c r="K332" t="s">
        <v>410</v>
      </c>
    </row>
    <row r="333" spans="1:12">
      <c r="A333" s="1">
        <v>42611</v>
      </c>
      <c r="D333" s="1"/>
      <c r="J333">
        <v>158</v>
      </c>
      <c r="K333" t="s">
        <v>410</v>
      </c>
    </row>
    <row r="334" spans="1:12">
      <c r="A334" s="1">
        <v>42602</v>
      </c>
      <c r="D334" s="1"/>
      <c r="J334">
        <v>2000</v>
      </c>
      <c r="K334" t="s">
        <v>414</v>
      </c>
    </row>
    <row r="335" spans="1:12">
      <c r="A335" s="1">
        <v>42636</v>
      </c>
      <c r="D335" s="1"/>
      <c r="J335">
        <v>3093</v>
      </c>
      <c r="K335" t="s">
        <v>418</v>
      </c>
    </row>
    <row r="336" spans="1:12">
      <c r="A336" s="1">
        <v>42612</v>
      </c>
      <c r="B336" s="5">
        <v>62944</v>
      </c>
      <c r="C336">
        <f>B336/1</f>
        <v>62944</v>
      </c>
      <c r="D336" s="1">
        <v>42655</v>
      </c>
      <c r="E336">
        <v>63681</v>
      </c>
      <c r="F336" t="s">
        <v>7</v>
      </c>
      <c r="J336">
        <f>E336-B336</f>
        <v>737</v>
      </c>
      <c r="K336" t="s">
        <v>419</v>
      </c>
      <c r="L336">
        <v>0.69399999999999995</v>
      </c>
    </row>
    <row r="337" spans="1:12">
      <c r="A337" s="1">
        <v>42678</v>
      </c>
      <c r="B337" s="5">
        <v>75653</v>
      </c>
      <c r="C337" s="5">
        <f>B337/1</f>
        <v>75653</v>
      </c>
      <c r="D337" s="1">
        <v>42678</v>
      </c>
      <c r="E337" s="5">
        <v>75708</v>
      </c>
      <c r="F337" t="s">
        <v>7</v>
      </c>
      <c r="J337">
        <f>E337-B337</f>
        <v>55</v>
      </c>
      <c r="K337" t="s">
        <v>221</v>
      </c>
      <c r="L337">
        <v>1</v>
      </c>
    </row>
    <row r="338" spans="1:12">
      <c r="A338" s="1">
        <v>42735</v>
      </c>
      <c r="B338" s="5"/>
      <c r="C338" s="5"/>
      <c r="D338" s="1"/>
      <c r="E338" s="5"/>
      <c r="J338">
        <v>-275000</v>
      </c>
      <c r="K338" s="12" t="s">
        <v>426</v>
      </c>
    </row>
    <row r="339" spans="1:12">
      <c r="A339" s="1">
        <v>42735</v>
      </c>
      <c r="B339" s="5"/>
      <c r="C339" s="5"/>
      <c r="D339" s="1"/>
      <c r="E339" s="5"/>
      <c r="J339">
        <v>-15800</v>
      </c>
      <c r="K339" s="15" t="s">
        <v>425</v>
      </c>
    </row>
    <row r="340" spans="1:12">
      <c r="A340" s="1">
        <v>42735</v>
      </c>
      <c r="B340" s="5"/>
      <c r="C340" s="5"/>
      <c r="D340" s="1"/>
      <c r="E340" s="5"/>
      <c r="J340">
        <v>-42830</v>
      </c>
      <c r="K340" s="12" t="s">
        <v>378</v>
      </c>
    </row>
    <row r="341" spans="1:12">
      <c r="A341" s="1">
        <v>42735</v>
      </c>
      <c r="B341" s="5"/>
      <c r="C341" s="5"/>
      <c r="D341" s="1"/>
      <c r="E341" s="5"/>
      <c r="J341">
        <v>-31194</v>
      </c>
      <c r="K341" s="12" t="s">
        <v>379</v>
      </c>
    </row>
    <row r="342" spans="1:12">
      <c r="A342" s="1">
        <v>42683</v>
      </c>
      <c r="B342" s="5">
        <v>73052</v>
      </c>
      <c r="C342">
        <f>B342/1</f>
        <v>73052</v>
      </c>
      <c r="D342" s="1">
        <v>42744</v>
      </c>
      <c r="E342">
        <v>76117</v>
      </c>
      <c r="F342" t="s">
        <v>7</v>
      </c>
      <c r="J342">
        <f>E342-B342</f>
        <v>3065</v>
      </c>
      <c r="K342" t="s">
        <v>408</v>
      </c>
      <c r="L342">
        <v>1</v>
      </c>
    </row>
    <row r="343" spans="1:12">
      <c r="A343" s="1">
        <v>42111</v>
      </c>
      <c r="B343">
        <v>99484</v>
      </c>
      <c r="C343" s="5">
        <f>B343/1</f>
        <v>99484</v>
      </c>
      <c r="D343" s="1">
        <v>42759</v>
      </c>
      <c r="E343" s="5">
        <v>103614</v>
      </c>
      <c r="F343" t="s">
        <v>7</v>
      </c>
      <c r="J343">
        <f>E343-B343</f>
        <v>4130</v>
      </c>
      <c r="K343" t="s">
        <v>221</v>
      </c>
      <c r="L343">
        <v>1</v>
      </c>
    </row>
    <row r="344" spans="1:12">
      <c r="A344" s="1">
        <v>42761</v>
      </c>
      <c r="C344" s="5"/>
      <c r="D344" s="1"/>
      <c r="E344" s="5"/>
      <c r="J344">
        <v>3467</v>
      </c>
      <c r="K344" t="s">
        <v>429</v>
      </c>
    </row>
    <row r="345" spans="1:12">
      <c r="A345" s="1">
        <v>42761</v>
      </c>
      <c r="C345" s="5"/>
      <c r="D345" s="1"/>
      <c r="E345" s="5"/>
      <c r="J345">
        <v>712</v>
      </c>
      <c r="K345" t="s">
        <v>430</v>
      </c>
    </row>
    <row r="346" spans="1:12">
      <c r="A346" s="1">
        <v>42768</v>
      </c>
      <c r="B346">
        <v>103073</v>
      </c>
      <c r="C346" s="5">
        <f>B346/1</f>
        <v>103073</v>
      </c>
      <c r="D346" s="1">
        <v>42768</v>
      </c>
      <c r="E346" s="5">
        <v>107102</v>
      </c>
      <c r="F346" t="s">
        <v>7</v>
      </c>
      <c r="J346">
        <f>E346-B346</f>
        <v>4029</v>
      </c>
      <c r="K346" t="s">
        <v>221</v>
      </c>
      <c r="L346">
        <v>1</v>
      </c>
    </row>
    <row r="347" spans="1:12">
      <c r="A347" s="1">
        <v>42115</v>
      </c>
      <c r="B347">
        <v>93734</v>
      </c>
      <c r="C347" s="5">
        <f>B347/1</f>
        <v>93734</v>
      </c>
      <c r="D347" s="1">
        <v>42768</v>
      </c>
      <c r="E347" s="5">
        <v>108596</v>
      </c>
      <c r="F347" t="s">
        <v>7</v>
      </c>
      <c r="J347">
        <f>E347-B347</f>
        <v>14862</v>
      </c>
      <c r="K347" t="s">
        <v>221</v>
      </c>
      <c r="L347">
        <v>1</v>
      </c>
    </row>
    <row r="348" spans="1:12">
      <c r="A348" s="1">
        <v>42115</v>
      </c>
      <c r="B348">
        <v>187468</v>
      </c>
      <c r="C348" s="5">
        <f>B348/2</f>
        <v>93734</v>
      </c>
      <c r="D348" s="1">
        <v>42772</v>
      </c>
      <c r="E348" s="5">
        <v>245087</v>
      </c>
      <c r="F348" t="s">
        <v>7</v>
      </c>
      <c r="J348">
        <f>E348-B348</f>
        <v>57619</v>
      </c>
      <c r="K348" t="s">
        <v>342</v>
      </c>
      <c r="L348">
        <v>2</v>
      </c>
    </row>
    <row r="349" spans="1:12">
      <c r="A349" s="1">
        <v>42096</v>
      </c>
      <c r="B349">
        <v>1413154</v>
      </c>
      <c r="C349" s="5">
        <f>B349/15.564</f>
        <v>90796.324852223072</v>
      </c>
      <c r="D349" s="1"/>
      <c r="F349" t="s">
        <v>7</v>
      </c>
      <c r="K349" t="s">
        <v>322</v>
      </c>
      <c r="L349">
        <v>15.564</v>
      </c>
    </row>
    <row r="350" spans="1:12">
      <c r="A350" s="1">
        <v>42115</v>
      </c>
      <c r="B350">
        <v>749874</v>
      </c>
      <c r="C350" s="5">
        <f>B350/8</f>
        <v>93734.25</v>
      </c>
      <c r="D350" s="1"/>
      <c r="F350" t="s">
        <v>7</v>
      </c>
      <c r="K350" t="s">
        <v>433</v>
      </c>
      <c r="L350">
        <v>8</v>
      </c>
    </row>
    <row r="351" spans="1:12">
      <c r="A351" s="1">
        <v>42116</v>
      </c>
      <c r="B351">
        <v>1310819</v>
      </c>
      <c r="C351" s="5">
        <f>B351/14</f>
        <v>93629.928571428565</v>
      </c>
      <c r="D351" s="1"/>
      <c r="F351" t="s">
        <v>7</v>
      </c>
      <c r="K351" t="s">
        <v>320</v>
      </c>
      <c r="L351">
        <v>14</v>
      </c>
    </row>
    <row r="352" spans="1:12">
      <c r="A352" s="1">
        <v>42121</v>
      </c>
      <c r="B352">
        <v>87875</v>
      </c>
      <c r="C352" s="5">
        <f>B352/1</f>
        <v>87875</v>
      </c>
      <c r="D352" s="1"/>
      <c r="F352" t="s">
        <v>7</v>
      </c>
      <c r="K352" t="s">
        <v>221</v>
      </c>
      <c r="L352">
        <v>1</v>
      </c>
    </row>
    <row r="353" spans="1:12">
      <c r="A353" s="1">
        <v>42122</v>
      </c>
      <c r="B353">
        <v>810692</v>
      </c>
      <c r="C353" s="5">
        <f>B353/9</f>
        <v>90076.888888888891</v>
      </c>
      <c r="D353" s="1"/>
      <c r="F353" t="s">
        <v>7</v>
      </c>
      <c r="K353" t="s">
        <v>323</v>
      </c>
      <c r="L353">
        <v>9</v>
      </c>
    </row>
    <row r="354" spans="1:12">
      <c r="A354" s="1">
        <v>42144</v>
      </c>
      <c r="B354">
        <v>4675</v>
      </c>
      <c r="C354" s="5">
        <f>B354/0.091</f>
        <v>51373.626373626372</v>
      </c>
      <c r="D354" s="1"/>
      <c r="F354" t="s">
        <v>7</v>
      </c>
      <c r="K354" t="s">
        <v>370</v>
      </c>
      <c r="L354">
        <v>9.0999999999999998E-2</v>
      </c>
    </row>
    <row r="355" spans="1:12">
      <c r="A355" s="1">
        <v>42150</v>
      </c>
      <c r="B355">
        <v>1050</v>
      </c>
      <c r="C355" s="5">
        <f>B355/0.054</f>
        <v>19444.444444444445</v>
      </c>
      <c r="D355" s="1"/>
      <c r="F355" t="s">
        <v>7</v>
      </c>
      <c r="K355" t="s">
        <v>329</v>
      </c>
      <c r="L355">
        <v>5.3999999999999999E-2</v>
      </c>
    </row>
    <row r="356" spans="1:12">
      <c r="A356" s="1">
        <v>42156</v>
      </c>
      <c r="B356">
        <v>22340</v>
      </c>
      <c r="C356" s="5">
        <f>B356/0.291</f>
        <v>76769.759450171827</v>
      </c>
      <c r="D356" s="1"/>
      <c r="F356" t="s">
        <v>7</v>
      </c>
      <c r="K356" t="s">
        <v>330</v>
      </c>
      <c r="L356">
        <v>0.29099999999999998</v>
      </c>
    </row>
    <row r="357" spans="1:12">
      <c r="A357" s="1">
        <v>42548</v>
      </c>
      <c r="B357">
        <v>418697</v>
      </c>
      <c r="C357" s="5">
        <f>B357/5</f>
        <v>83739.399999999994</v>
      </c>
      <c r="D357" s="1"/>
      <c r="F357" t="s">
        <v>7</v>
      </c>
      <c r="K357" t="s">
        <v>326</v>
      </c>
      <c r="L357">
        <v>5</v>
      </c>
    </row>
    <row r="358" spans="1:12">
      <c r="A358" s="1"/>
      <c r="B358">
        <f>SUM(B349:B357)</f>
        <v>4819176</v>
      </c>
      <c r="C358" s="5"/>
      <c r="D358" s="1">
        <v>42776</v>
      </c>
      <c r="E358">
        <v>6377309</v>
      </c>
      <c r="J358">
        <f>E358-B358</f>
        <v>1558133</v>
      </c>
      <c r="K358" t="s">
        <v>435</v>
      </c>
    </row>
    <row r="359" spans="1:12">
      <c r="A359" s="1">
        <v>42552</v>
      </c>
      <c r="B359" s="5">
        <v>375000</v>
      </c>
      <c r="J359">
        <v>-100000</v>
      </c>
      <c r="K359" s="12" t="s">
        <v>436</v>
      </c>
    </row>
    <row r="360" spans="1:12">
      <c r="A360" s="1">
        <v>42783</v>
      </c>
      <c r="B360" s="5">
        <v>765654</v>
      </c>
      <c r="C360">
        <f>B360/10</f>
        <v>76565.399999999994</v>
      </c>
      <c r="D360" s="1">
        <v>42783</v>
      </c>
      <c r="E360">
        <v>779097</v>
      </c>
      <c r="F360" t="s">
        <v>7</v>
      </c>
      <c r="J360">
        <f>E360-B360</f>
        <v>13443</v>
      </c>
      <c r="K360" t="s">
        <v>443</v>
      </c>
      <c r="L360">
        <v>10</v>
      </c>
    </row>
    <row r="361" spans="1:12">
      <c r="A361" s="1">
        <v>42774</v>
      </c>
      <c r="B361" s="5">
        <v>74853</v>
      </c>
      <c r="C361">
        <f>B361/1</f>
        <v>74853</v>
      </c>
      <c r="D361" s="1">
        <v>42786</v>
      </c>
      <c r="E361">
        <v>78696</v>
      </c>
      <c r="F361" t="s">
        <v>7</v>
      </c>
      <c r="J361">
        <f>E361-B361</f>
        <v>3843</v>
      </c>
      <c r="K361" t="s">
        <v>408</v>
      </c>
      <c r="L361">
        <v>1</v>
      </c>
    </row>
    <row r="362" spans="1:12">
      <c r="A362" s="1">
        <v>42772</v>
      </c>
      <c r="B362" s="5">
        <v>90064</v>
      </c>
      <c r="C362">
        <f>B362/1</f>
        <v>90064</v>
      </c>
      <c r="D362" s="1">
        <v>42787</v>
      </c>
      <c r="E362">
        <v>90564</v>
      </c>
      <c r="F362" t="s">
        <v>7</v>
      </c>
      <c r="J362">
        <f>E362-B362</f>
        <v>500</v>
      </c>
      <c r="K362" t="s">
        <v>445</v>
      </c>
      <c r="L362">
        <v>1</v>
      </c>
    </row>
    <row r="363" spans="1:12">
      <c r="A363" s="1">
        <v>42772</v>
      </c>
      <c r="B363" s="5">
        <v>130292</v>
      </c>
      <c r="C363">
        <f>B363/2</f>
        <v>65146</v>
      </c>
      <c r="F363" t="s">
        <v>7</v>
      </c>
      <c r="K363" t="s">
        <v>431</v>
      </c>
      <c r="L363">
        <v>2</v>
      </c>
    </row>
    <row r="364" spans="1:12">
      <c r="A364" s="1">
        <v>42772</v>
      </c>
      <c r="B364" s="5">
        <v>131093</v>
      </c>
      <c r="C364">
        <f>B364/2</f>
        <v>65546.5</v>
      </c>
      <c r="F364" t="s">
        <v>7</v>
      </c>
      <c r="K364" t="s">
        <v>431</v>
      </c>
      <c r="L364">
        <v>2</v>
      </c>
    </row>
    <row r="365" spans="1:12">
      <c r="A365" s="1">
        <v>42779</v>
      </c>
      <c r="B365" s="5">
        <v>64946</v>
      </c>
      <c r="C365">
        <f>B365/1</f>
        <v>64946</v>
      </c>
      <c r="F365" t="s">
        <v>7</v>
      </c>
      <c r="K365" t="s">
        <v>432</v>
      </c>
      <c r="L365">
        <v>1</v>
      </c>
    </row>
    <row r="366" spans="1:12">
      <c r="A366" s="1">
        <v>42779</v>
      </c>
      <c r="B366" s="5">
        <v>193938</v>
      </c>
      <c r="C366">
        <f>B366/3</f>
        <v>64646</v>
      </c>
      <c r="F366" t="s">
        <v>7</v>
      </c>
      <c r="K366" t="s">
        <v>437</v>
      </c>
      <c r="L366">
        <v>3</v>
      </c>
    </row>
    <row r="367" spans="1:12">
      <c r="A367" s="1">
        <v>42780</v>
      </c>
      <c r="B367" s="5">
        <v>389143</v>
      </c>
      <c r="C367">
        <f>B367/6</f>
        <v>64857.166666666664</v>
      </c>
      <c r="F367" t="s">
        <v>7</v>
      </c>
      <c r="K367" t="s">
        <v>440</v>
      </c>
      <c r="L367">
        <v>6</v>
      </c>
    </row>
    <row r="368" spans="1:12">
      <c r="A368" s="1"/>
      <c r="B368" s="5">
        <f>SUM(B363:B367)</f>
        <v>909412</v>
      </c>
      <c r="D368" s="1">
        <v>42787</v>
      </c>
      <c r="E368">
        <v>922563</v>
      </c>
      <c r="J368">
        <f>E368-B368</f>
        <v>13151</v>
      </c>
      <c r="K368" t="s">
        <v>490</v>
      </c>
    </row>
    <row r="369" spans="1:12">
      <c r="A369" s="1">
        <v>42768</v>
      </c>
      <c r="B369" s="5">
        <v>128091</v>
      </c>
      <c r="C369">
        <f>B369/2</f>
        <v>64045.5</v>
      </c>
      <c r="F369" t="s">
        <v>7</v>
      </c>
      <c r="K369" t="s">
        <v>431</v>
      </c>
      <c r="L369">
        <v>2</v>
      </c>
    </row>
    <row r="370" spans="1:12">
      <c r="A370" s="1">
        <v>42769</v>
      </c>
      <c r="B370" s="5">
        <v>64145</v>
      </c>
      <c r="C370">
        <f>B370/1</f>
        <v>64145</v>
      </c>
      <c r="F370" t="s">
        <v>7</v>
      </c>
      <c r="K370" t="s">
        <v>432</v>
      </c>
      <c r="L370">
        <v>1</v>
      </c>
    </row>
    <row r="371" spans="1:12">
      <c r="A371" s="1">
        <v>42779</v>
      </c>
      <c r="B371" s="5">
        <v>191836</v>
      </c>
      <c r="C371">
        <f>B371/3</f>
        <v>63945.333333333336</v>
      </c>
      <c r="F371" t="s">
        <v>7</v>
      </c>
      <c r="K371" t="s">
        <v>437</v>
      </c>
      <c r="L371">
        <v>3</v>
      </c>
    </row>
    <row r="372" spans="1:12">
      <c r="A372" s="1"/>
      <c r="B372" s="5">
        <f>SUM(B369:B371)</f>
        <v>384072</v>
      </c>
      <c r="D372" s="1">
        <v>42788</v>
      </c>
      <c r="E372">
        <v>424945</v>
      </c>
      <c r="J372">
        <f>E372-B372</f>
        <v>40873</v>
      </c>
      <c r="K372" t="s">
        <v>490</v>
      </c>
    </row>
    <row r="373" spans="1:12">
      <c r="A373" s="1">
        <v>42796</v>
      </c>
      <c r="B373" s="5">
        <v>66747</v>
      </c>
      <c r="C373">
        <f>B373/1</f>
        <v>66747</v>
      </c>
      <c r="D373" s="1">
        <v>42800</v>
      </c>
      <c r="E373">
        <v>68247</v>
      </c>
      <c r="F373" t="s">
        <v>7</v>
      </c>
      <c r="J373">
        <f>E373-B373</f>
        <v>1500</v>
      </c>
      <c r="K373" t="s">
        <v>450</v>
      </c>
      <c r="L373">
        <v>1</v>
      </c>
    </row>
    <row r="374" spans="1:12">
      <c r="A374" s="1">
        <v>42789</v>
      </c>
      <c r="B374" s="5">
        <v>138498</v>
      </c>
      <c r="C374">
        <f>B374/2</f>
        <v>69249</v>
      </c>
      <c r="D374" s="1">
        <v>42803</v>
      </c>
      <c r="E374">
        <v>142271</v>
      </c>
      <c r="F374" t="s">
        <v>7</v>
      </c>
      <c r="J374">
        <f>E374-B374</f>
        <v>3773</v>
      </c>
      <c r="K374" t="s">
        <v>449</v>
      </c>
      <c r="L374">
        <v>2</v>
      </c>
    </row>
    <row r="375" spans="1:12">
      <c r="A375" s="1">
        <v>42663</v>
      </c>
      <c r="B375" s="5">
        <v>34624</v>
      </c>
      <c r="C375" s="5">
        <f>B375/1</f>
        <v>34624</v>
      </c>
      <c r="D375" s="1"/>
      <c r="E375" s="5"/>
      <c r="F375" t="s">
        <v>7</v>
      </c>
      <c r="K375" t="s">
        <v>331</v>
      </c>
      <c r="L375">
        <v>1</v>
      </c>
    </row>
    <row r="376" spans="1:12">
      <c r="A376" s="1">
        <v>42746</v>
      </c>
      <c r="B376" s="5">
        <v>34424</v>
      </c>
      <c r="C376" s="5">
        <f>B376/1</f>
        <v>34424</v>
      </c>
      <c r="D376" s="4"/>
      <c r="E376" s="5"/>
      <c r="F376" t="s">
        <v>7</v>
      </c>
      <c r="K376" t="s">
        <v>331</v>
      </c>
      <c r="L376">
        <v>1</v>
      </c>
    </row>
    <row r="377" spans="1:12">
      <c r="A377" s="1">
        <v>42773</v>
      </c>
      <c r="B377" s="5">
        <v>33523</v>
      </c>
      <c r="C377" s="5">
        <f>B377/1</f>
        <v>33523</v>
      </c>
      <c r="D377" s="4"/>
      <c r="E377" s="5"/>
      <c r="F377" t="s">
        <v>7</v>
      </c>
      <c r="K377" t="s">
        <v>331</v>
      </c>
      <c r="L377">
        <v>1</v>
      </c>
    </row>
    <row r="378" spans="1:12">
      <c r="A378" s="1">
        <v>42807</v>
      </c>
      <c r="B378" s="5">
        <v>34580</v>
      </c>
      <c r="C378" s="5">
        <f>B378/1</f>
        <v>34580</v>
      </c>
      <c r="D378" s="4"/>
      <c r="E378" s="5"/>
      <c r="F378" t="s">
        <v>7</v>
      </c>
      <c r="K378" t="s">
        <v>331</v>
      </c>
      <c r="L378">
        <v>1</v>
      </c>
    </row>
    <row r="379" spans="1:12">
      <c r="A379" s="1">
        <v>42241</v>
      </c>
      <c r="B379" s="5">
        <v>65856</v>
      </c>
      <c r="C379" s="5">
        <f>B379/2</f>
        <v>32928</v>
      </c>
      <c r="D379" s="4"/>
      <c r="E379" s="5"/>
      <c r="F379" t="s">
        <v>7</v>
      </c>
      <c r="K379" t="s">
        <v>341</v>
      </c>
      <c r="L379">
        <v>2</v>
      </c>
    </row>
    <row r="380" spans="1:12">
      <c r="A380" s="1">
        <v>42249</v>
      </c>
      <c r="B380" s="5">
        <v>135315</v>
      </c>
      <c r="C380" s="5">
        <f>B380/4</f>
        <v>33828.75</v>
      </c>
      <c r="D380" s="4"/>
      <c r="E380" s="5"/>
      <c r="F380" t="s">
        <v>7</v>
      </c>
      <c r="K380" t="s">
        <v>348</v>
      </c>
      <c r="L380">
        <v>4</v>
      </c>
    </row>
    <row r="381" spans="1:12">
      <c r="A381" s="1"/>
      <c r="B381" s="5"/>
      <c r="C381" s="5"/>
      <c r="D381" s="4">
        <v>42808</v>
      </c>
      <c r="E381" s="5">
        <v>174072</v>
      </c>
      <c r="K381" t="s">
        <v>489</v>
      </c>
    </row>
    <row r="382" spans="1:12">
      <c r="A382" s="1"/>
      <c r="B382" s="5"/>
      <c r="C382" s="5"/>
      <c r="D382" s="4">
        <v>42808</v>
      </c>
      <c r="E382" s="5">
        <v>139282</v>
      </c>
      <c r="K382" t="s">
        <v>489</v>
      </c>
    </row>
    <row r="383" spans="1:12">
      <c r="A383" s="1"/>
      <c r="B383" s="5"/>
      <c r="C383" s="5"/>
      <c r="D383" s="4">
        <v>42808</v>
      </c>
      <c r="E383" s="5">
        <v>34817</v>
      </c>
      <c r="K383" t="s">
        <v>489</v>
      </c>
    </row>
    <row r="384" spans="1:12">
      <c r="A384" s="1"/>
      <c r="B384" s="5">
        <f>SUM(B375:B380)</f>
        <v>338322</v>
      </c>
      <c r="C384" s="5"/>
      <c r="D384" s="4">
        <v>42808</v>
      </c>
      <c r="E384" s="5">
        <f>SUM(E381:E383)</f>
        <v>348171</v>
      </c>
      <c r="J384">
        <f t="shared" ref="J384:J389" si="18">E384-B384</f>
        <v>9849</v>
      </c>
      <c r="K384" t="s">
        <v>489</v>
      </c>
    </row>
    <row r="385" spans="1:12">
      <c r="A385" s="1">
        <v>42808</v>
      </c>
      <c r="B385" s="5">
        <v>282649</v>
      </c>
      <c r="C385">
        <f>B385/4</f>
        <v>70662.25</v>
      </c>
      <c r="D385" s="4">
        <v>42809</v>
      </c>
      <c r="E385" s="5">
        <v>287679</v>
      </c>
      <c r="F385" t="s">
        <v>7</v>
      </c>
      <c r="J385">
        <f t="shared" si="18"/>
        <v>5030</v>
      </c>
      <c r="K385" t="s">
        <v>453</v>
      </c>
      <c r="L385">
        <v>4</v>
      </c>
    </row>
    <row r="386" spans="1:12">
      <c r="A386" s="1">
        <v>42657</v>
      </c>
      <c r="B386" s="5">
        <v>35125</v>
      </c>
      <c r="C386" s="5">
        <f>B386/1</f>
        <v>35125</v>
      </c>
      <c r="D386" s="4">
        <v>42810</v>
      </c>
      <c r="E386" s="5">
        <v>36167</v>
      </c>
      <c r="F386" t="s">
        <v>7</v>
      </c>
      <c r="J386">
        <f t="shared" si="18"/>
        <v>1042</v>
      </c>
      <c r="K386" t="s">
        <v>331</v>
      </c>
      <c r="L386">
        <v>1</v>
      </c>
    </row>
    <row r="387" spans="1:12">
      <c r="A387" s="1">
        <v>42811</v>
      </c>
      <c r="B387" s="5">
        <v>141901</v>
      </c>
      <c r="C387">
        <f>B387/2</f>
        <v>70950.5</v>
      </c>
      <c r="D387" s="1">
        <v>42811</v>
      </c>
      <c r="E387" s="5">
        <v>142470</v>
      </c>
      <c r="F387" t="s">
        <v>7</v>
      </c>
      <c r="J387">
        <f t="shared" si="18"/>
        <v>569</v>
      </c>
      <c r="K387" t="s">
        <v>454</v>
      </c>
      <c r="L387">
        <v>2</v>
      </c>
    </row>
    <row r="388" spans="1:12">
      <c r="A388" s="1">
        <v>42580</v>
      </c>
      <c r="B388" s="5">
        <v>435207</v>
      </c>
      <c r="C388">
        <f>B388/5</f>
        <v>87041.4</v>
      </c>
      <c r="D388" s="1">
        <v>42814</v>
      </c>
      <c r="E388" s="5">
        <v>390877</v>
      </c>
      <c r="F388" t="s">
        <v>7</v>
      </c>
      <c r="J388">
        <f t="shared" si="18"/>
        <v>-44330</v>
      </c>
      <c r="K388" t="s">
        <v>406</v>
      </c>
      <c r="L388">
        <v>5</v>
      </c>
    </row>
    <row r="389" spans="1:12">
      <c r="A389" s="1">
        <v>42657</v>
      </c>
      <c r="B389" s="5">
        <v>35125</v>
      </c>
      <c r="C389" s="5">
        <f>B389/1</f>
        <v>35125</v>
      </c>
      <c r="D389" s="1">
        <v>42814</v>
      </c>
      <c r="E389" s="5">
        <v>36359</v>
      </c>
      <c r="F389" t="s">
        <v>7</v>
      </c>
      <c r="J389">
        <f t="shared" si="18"/>
        <v>1234</v>
      </c>
      <c r="K389" t="s">
        <v>331</v>
      </c>
      <c r="L389">
        <v>1</v>
      </c>
    </row>
    <row r="390" spans="1:12">
      <c r="A390" s="1">
        <v>42550</v>
      </c>
      <c r="B390" s="5">
        <v>291153</v>
      </c>
      <c r="C390">
        <f>B390/3</f>
        <v>97051</v>
      </c>
      <c r="K390" t="s">
        <v>458</v>
      </c>
      <c r="L390">
        <v>3</v>
      </c>
    </row>
    <row r="391" spans="1:12">
      <c r="A391" s="1">
        <v>42580</v>
      </c>
      <c r="B391" s="5">
        <v>85961</v>
      </c>
      <c r="C391">
        <f>B391/1</f>
        <v>85961</v>
      </c>
      <c r="F391" t="s">
        <v>7</v>
      </c>
      <c r="K391" t="s">
        <v>408</v>
      </c>
      <c r="L391">
        <v>1</v>
      </c>
    </row>
    <row r="392" spans="1:12">
      <c r="A392" s="1">
        <v>42600</v>
      </c>
      <c r="B392" s="5">
        <v>85060</v>
      </c>
      <c r="C392">
        <f>B392/1</f>
        <v>85060</v>
      </c>
      <c r="F392" t="s">
        <v>7</v>
      </c>
      <c r="K392" t="s">
        <v>408</v>
      </c>
      <c r="L392">
        <v>1</v>
      </c>
    </row>
    <row r="393" spans="1:12">
      <c r="A393" s="1">
        <v>42639</v>
      </c>
      <c r="B393" s="5">
        <v>88462</v>
      </c>
      <c r="C393">
        <f>B393/1</f>
        <v>88462</v>
      </c>
      <c r="F393" t="s">
        <v>7</v>
      </c>
      <c r="K393" t="s">
        <v>408</v>
      </c>
      <c r="L393">
        <v>1</v>
      </c>
    </row>
    <row r="394" spans="1:12">
      <c r="A394" s="1"/>
      <c r="B394" s="5">
        <f>SUM(B390:B393)</f>
        <v>550636</v>
      </c>
      <c r="D394" s="1">
        <v>42815</v>
      </c>
      <c r="E394">
        <v>464988</v>
      </c>
      <c r="J394">
        <f>E394-B394</f>
        <v>-85648</v>
      </c>
      <c r="K394" t="s">
        <v>491</v>
      </c>
    </row>
    <row r="395" spans="1:12">
      <c r="A395" s="1">
        <v>42786</v>
      </c>
      <c r="B395" s="5">
        <v>75052</v>
      </c>
      <c r="C395">
        <f>B395/1</f>
        <v>75052</v>
      </c>
      <c r="D395" s="1">
        <v>42816</v>
      </c>
      <c r="E395">
        <v>76801</v>
      </c>
      <c r="F395" t="s">
        <v>7</v>
      </c>
      <c r="J395">
        <f>E395-B395</f>
        <v>1749</v>
      </c>
      <c r="K395" t="s">
        <v>447</v>
      </c>
      <c r="L395">
        <v>1</v>
      </c>
    </row>
    <row r="396" spans="1:12">
      <c r="A396" s="1">
        <v>42646</v>
      </c>
      <c r="B396" s="5">
        <v>88763</v>
      </c>
      <c r="C396">
        <f>B396/1</f>
        <v>88763</v>
      </c>
      <c r="D396" s="1">
        <v>42816</v>
      </c>
      <c r="E396">
        <v>76503</v>
      </c>
      <c r="F396" t="s">
        <v>7</v>
      </c>
      <c r="J396">
        <f>E396-B396</f>
        <v>-12260</v>
      </c>
      <c r="K396" t="s">
        <v>408</v>
      </c>
      <c r="L396">
        <v>1</v>
      </c>
    </row>
    <row r="397" spans="1:12">
      <c r="A397" s="1">
        <v>42550</v>
      </c>
      <c r="B397" s="5">
        <v>582306</v>
      </c>
      <c r="C397">
        <f>B397/6</f>
        <v>97051</v>
      </c>
      <c r="D397" s="1">
        <v>42817</v>
      </c>
      <c r="E397">
        <v>458414</v>
      </c>
      <c r="F397" t="s">
        <v>7</v>
      </c>
      <c r="J397">
        <f>E397-B397</f>
        <v>-123892</v>
      </c>
      <c r="K397" t="s">
        <v>460</v>
      </c>
      <c r="L397">
        <v>6</v>
      </c>
    </row>
    <row r="398" spans="1:12">
      <c r="A398" s="1">
        <v>42823</v>
      </c>
      <c r="B398" s="5">
        <v>391345</v>
      </c>
      <c r="C398">
        <f>B398/6</f>
        <v>65224.166666666664</v>
      </c>
      <c r="D398" s="4">
        <v>42823</v>
      </c>
      <c r="E398" s="5">
        <v>397451</v>
      </c>
      <c r="F398" t="s">
        <v>7</v>
      </c>
      <c r="J398">
        <f t="shared" ref="J398" si="19">E398-B398</f>
        <v>6106</v>
      </c>
      <c r="K398" t="s">
        <v>461</v>
      </c>
      <c r="L398">
        <v>6</v>
      </c>
    </row>
    <row r="399" spans="1:12">
      <c r="A399" s="1">
        <v>42830</v>
      </c>
      <c r="B399" s="5">
        <v>68660</v>
      </c>
      <c r="C399">
        <f>B399/1</f>
        <v>68660</v>
      </c>
      <c r="D399" s="1">
        <v>42830</v>
      </c>
      <c r="E399" s="5">
        <v>69032</v>
      </c>
      <c r="F399" t="s">
        <v>7</v>
      </c>
      <c r="J399">
        <f t="shared" ref="J399" si="20">E399-B399</f>
        <v>372</v>
      </c>
      <c r="K399" t="s">
        <v>461</v>
      </c>
      <c r="L399">
        <v>6</v>
      </c>
    </row>
    <row r="400" spans="1:12">
      <c r="A400" s="1">
        <v>42832</v>
      </c>
      <c r="B400" s="5">
        <v>595725</v>
      </c>
      <c r="C400">
        <f>B400/6</f>
        <v>99287.5</v>
      </c>
      <c r="D400" s="1">
        <v>42832</v>
      </c>
      <c r="E400" s="5">
        <v>596587</v>
      </c>
      <c r="F400" t="s">
        <v>7</v>
      </c>
      <c r="J400">
        <f t="shared" ref="J400:J403" si="21">E400-B400</f>
        <v>862</v>
      </c>
      <c r="K400" t="s">
        <v>462</v>
      </c>
      <c r="L400">
        <v>6</v>
      </c>
    </row>
    <row r="401" spans="1:12">
      <c r="A401" s="1">
        <v>42550</v>
      </c>
      <c r="B401" s="5">
        <v>97051</v>
      </c>
      <c r="C401">
        <f>B401/1</f>
        <v>97051</v>
      </c>
      <c r="D401" s="1">
        <v>42835</v>
      </c>
      <c r="E401" s="5">
        <v>74312</v>
      </c>
      <c r="F401" t="s">
        <v>7</v>
      </c>
      <c r="J401">
        <f t="shared" si="21"/>
        <v>-22739</v>
      </c>
      <c r="K401" t="s">
        <v>408</v>
      </c>
      <c r="L401">
        <v>1</v>
      </c>
    </row>
    <row r="402" spans="1:12">
      <c r="A402" s="1">
        <v>42418</v>
      </c>
      <c r="B402" s="5">
        <v>37131</v>
      </c>
      <c r="C402" s="5">
        <f>B402/1</f>
        <v>37131</v>
      </c>
      <c r="D402" s="1">
        <v>42835</v>
      </c>
      <c r="E402" s="5">
        <v>36359</v>
      </c>
      <c r="F402" t="s">
        <v>7</v>
      </c>
      <c r="J402">
        <f t="shared" si="21"/>
        <v>-772</v>
      </c>
      <c r="K402" t="s">
        <v>331</v>
      </c>
      <c r="L402">
        <v>1</v>
      </c>
    </row>
    <row r="403" spans="1:12">
      <c r="A403" s="1">
        <v>42170</v>
      </c>
      <c r="B403" s="5">
        <v>37732</v>
      </c>
      <c r="C403" s="5">
        <f>B403/1</f>
        <v>37732</v>
      </c>
      <c r="D403" s="1">
        <v>42835</v>
      </c>
      <c r="E403" s="5">
        <v>36359</v>
      </c>
      <c r="F403" t="s">
        <v>7</v>
      </c>
      <c r="J403">
        <f t="shared" si="21"/>
        <v>-1373</v>
      </c>
      <c r="K403" t="s">
        <v>331</v>
      </c>
      <c r="L403">
        <v>1</v>
      </c>
    </row>
    <row r="404" spans="1:12">
      <c r="A404" s="1">
        <v>42745</v>
      </c>
      <c r="B404" s="5">
        <v>15659</v>
      </c>
      <c r="C404" s="5">
        <f>B404/0.452</f>
        <v>34643.805309734511</v>
      </c>
      <c r="D404" s="1"/>
      <c r="E404" s="5"/>
      <c r="F404" t="s">
        <v>7</v>
      </c>
      <c r="K404" t="s">
        <v>427</v>
      </c>
      <c r="L404">
        <v>0.45200000000000001</v>
      </c>
    </row>
    <row r="405" spans="1:12">
      <c r="A405" s="1">
        <v>42746</v>
      </c>
      <c r="B405" s="5">
        <v>8562</v>
      </c>
      <c r="C405" s="5">
        <f>B405/0.248</f>
        <v>34524.193548387098</v>
      </c>
      <c r="D405" s="1"/>
      <c r="E405" s="5"/>
      <c r="F405" t="s">
        <v>7</v>
      </c>
      <c r="K405" t="s">
        <v>427</v>
      </c>
      <c r="L405">
        <v>0.248</v>
      </c>
    </row>
    <row r="406" spans="1:12">
      <c r="A406" s="1">
        <v>42235</v>
      </c>
      <c r="B406" s="5">
        <v>0</v>
      </c>
      <c r="C406" s="5"/>
      <c r="D406" s="4"/>
      <c r="E406" s="5"/>
      <c r="K406" t="s">
        <v>353</v>
      </c>
      <c r="L406">
        <v>0.3</v>
      </c>
    </row>
    <row r="407" spans="1:12">
      <c r="A407" s="1"/>
      <c r="B407" s="5">
        <f>SUM(B404:B405)</f>
        <v>24221</v>
      </c>
      <c r="D407" s="1">
        <v>42835</v>
      </c>
      <c r="E407">
        <v>36409</v>
      </c>
      <c r="J407">
        <f>E407-B407</f>
        <v>12188</v>
      </c>
      <c r="K407" t="s">
        <v>492</v>
      </c>
    </row>
    <row r="408" spans="1:12">
      <c r="A408" s="1">
        <v>42837</v>
      </c>
      <c r="B408" s="5">
        <v>2299730</v>
      </c>
      <c r="C408">
        <f>B408/23</f>
        <v>99988.260869565216</v>
      </c>
      <c r="D408" s="1">
        <v>42837</v>
      </c>
      <c r="E408" s="5">
        <v>2314376</v>
      </c>
      <c r="F408" t="s">
        <v>7</v>
      </c>
      <c r="J408">
        <f t="shared" ref="J408:J409" si="22">E408-B408</f>
        <v>14646</v>
      </c>
      <c r="K408" t="s">
        <v>464</v>
      </c>
      <c r="L408">
        <v>23</v>
      </c>
    </row>
    <row r="409" spans="1:12">
      <c r="A409" s="1">
        <v>42838</v>
      </c>
      <c r="B409" s="5">
        <v>398351</v>
      </c>
      <c r="C409">
        <f>B409/6</f>
        <v>66391.833333333328</v>
      </c>
      <c r="D409" s="1">
        <v>42838</v>
      </c>
      <c r="E409">
        <v>401739</v>
      </c>
      <c r="F409" t="s">
        <v>7</v>
      </c>
      <c r="J409">
        <f t="shared" si="22"/>
        <v>3388</v>
      </c>
      <c r="K409" t="s">
        <v>440</v>
      </c>
      <c r="L409">
        <v>6</v>
      </c>
    </row>
    <row r="410" spans="1:12">
      <c r="A410" s="1">
        <v>42772</v>
      </c>
      <c r="B410" s="5">
        <v>2611859</v>
      </c>
      <c r="C410">
        <f>B410/29</f>
        <v>90064.103448275855</v>
      </c>
      <c r="F410" t="s">
        <v>7</v>
      </c>
      <c r="K410" t="s">
        <v>446</v>
      </c>
      <c r="L410">
        <v>29</v>
      </c>
    </row>
    <row r="411" spans="1:12">
      <c r="A411" s="1">
        <v>42780</v>
      </c>
      <c r="B411" s="5">
        <v>179558</v>
      </c>
      <c r="C411">
        <f>B411/2</f>
        <v>89779</v>
      </c>
      <c r="F411" t="s">
        <v>7</v>
      </c>
      <c r="K411" t="s">
        <v>439</v>
      </c>
      <c r="L411">
        <v>2</v>
      </c>
    </row>
    <row r="412" spans="1:12">
      <c r="A412" s="1">
        <v>42780</v>
      </c>
      <c r="B412" s="5">
        <v>268737</v>
      </c>
      <c r="C412">
        <f>B412/3</f>
        <v>89579</v>
      </c>
      <c r="F412" t="s">
        <v>7</v>
      </c>
      <c r="K412" t="s">
        <v>441</v>
      </c>
      <c r="L412">
        <v>3</v>
      </c>
    </row>
    <row r="413" spans="1:12">
      <c r="A413" s="1">
        <v>42780</v>
      </c>
      <c r="B413" s="5">
        <v>448395</v>
      </c>
      <c r="C413">
        <f>B413/5</f>
        <v>89679</v>
      </c>
      <c r="F413" t="s">
        <v>7</v>
      </c>
      <c r="K413" t="s">
        <v>442</v>
      </c>
      <c r="L413">
        <v>5</v>
      </c>
    </row>
    <row r="414" spans="1:12">
      <c r="A414" s="1">
        <v>42780</v>
      </c>
      <c r="B414" s="5">
        <v>269337</v>
      </c>
      <c r="C414">
        <f>B414/3</f>
        <v>89779</v>
      </c>
      <c r="F414" t="s">
        <v>7</v>
      </c>
      <c r="K414" t="s">
        <v>441</v>
      </c>
      <c r="L414">
        <v>3</v>
      </c>
    </row>
    <row r="415" spans="1:12">
      <c r="A415" s="1">
        <v>42803</v>
      </c>
      <c r="B415" s="5">
        <v>93382</v>
      </c>
      <c r="C415">
        <f>B415/1</f>
        <v>93382</v>
      </c>
      <c r="F415" t="s">
        <v>7</v>
      </c>
      <c r="K415" t="s">
        <v>445</v>
      </c>
      <c r="L415">
        <v>1</v>
      </c>
    </row>
    <row r="416" spans="1:12">
      <c r="A416" s="1">
        <v>42809</v>
      </c>
      <c r="B416" s="5">
        <v>92281</v>
      </c>
      <c r="C416">
        <f>B416/1</f>
        <v>92281</v>
      </c>
      <c r="F416" t="s">
        <v>7</v>
      </c>
      <c r="K416" t="s">
        <v>445</v>
      </c>
      <c r="L416">
        <v>1</v>
      </c>
    </row>
    <row r="417" spans="1:12">
      <c r="A417" s="1">
        <v>42810</v>
      </c>
      <c r="B417" s="5">
        <v>281348</v>
      </c>
      <c r="C417">
        <f>B417/3</f>
        <v>93782.666666666672</v>
      </c>
      <c r="F417" t="s">
        <v>7</v>
      </c>
      <c r="K417" t="s">
        <v>441</v>
      </c>
      <c r="L417">
        <v>3</v>
      </c>
    </row>
    <row r="418" spans="1:12">
      <c r="A418" s="1">
        <v>42815</v>
      </c>
      <c r="B418" s="5">
        <v>465410</v>
      </c>
      <c r="C418">
        <f>B418/5</f>
        <v>93082</v>
      </c>
      <c r="F418" t="s">
        <v>7</v>
      </c>
      <c r="K418" t="s">
        <v>459</v>
      </c>
      <c r="L418">
        <v>5</v>
      </c>
    </row>
    <row r="419" spans="1:12">
      <c r="A419" s="1">
        <v>42816</v>
      </c>
      <c r="B419" s="5">
        <v>91080</v>
      </c>
      <c r="C419">
        <f>B419/1</f>
        <v>91080</v>
      </c>
      <c r="F419" t="s">
        <v>7</v>
      </c>
      <c r="K419" t="s">
        <v>445</v>
      </c>
      <c r="L419">
        <v>1</v>
      </c>
    </row>
    <row r="420" spans="1:12">
      <c r="A420" s="1">
        <v>42817</v>
      </c>
      <c r="B420" s="5">
        <v>470415</v>
      </c>
      <c r="C420">
        <f>B420/5</f>
        <v>94083</v>
      </c>
      <c r="F420" t="s">
        <v>7</v>
      </c>
      <c r="K420" t="s">
        <v>442</v>
      </c>
      <c r="L420">
        <v>5</v>
      </c>
    </row>
    <row r="421" spans="1:12">
      <c r="A421" s="1"/>
      <c r="B421" s="5">
        <f>SUM(B410:B420)</f>
        <v>5271802</v>
      </c>
      <c r="D421" s="1">
        <v>42839</v>
      </c>
      <c r="E421">
        <v>5777476</v>
      </c>
      <c r="J421">
        <f>E421-B421</f>
        <v>505674</v>
      </c>
      <c r="K421" t="s">
        <v>493</v>
      </c>
    </row>
    <row r="422" spans="1:12">
      <c r="A422" s="1">
        <v>42844</v>
      </c>
      <c r="B422" s="5">
        <v>2051811</v>
      </c>
      <c r="C422">
        <f>B422/20</f>
        <v>102590.55</v>
      </c>
      <c r="D422" s="1">
        <v>42845</v>
      </c>
      <c r="E422">
        <v>1992233</v>
      </c>
      <c r="J422">
        <f>E422-B422</f>
        <v>-59578</v>
      </c>
      <c r="K422" t="s">
        <v>468</v>
      </c>
      <c r="L422">
        <v>20</v>
      </c>
    </row>
    <row r="423" spans="1:12">
      <c r="A423" s="1">
        <v>42843</v>
      </c>
      <c r="B423" s="5">
        <v>69861</v>
      </c>
      <c r="C423">
        <f>B423/1</f>
        <v>69861</v>
      </c>
      <c r="F423" t="s">
        <v>7</v>
      </c>
      <c r="K423" t="s">
        <v>450</v>
      </c>
      <c r="L423">
        <v>1</v>
      </c>
    </row>
    <row r="424" spans="1:12">
      <c r="A424" s="1">
        <v>42843</v>
      </c>
      <c r="B424" s="5">
        <v>839541</v>
      </c>
      <c r="C424">
        <f>B424/12</f>
        <v>69961.75</v>
      </c>
      <c r="F424" t="s">
        <v>7</v>
      </c>
      <c r="K424" t="s">
        <v>467</v>
      </c>
      <c r="L424">
        <v>12</v>
      </c>
    </row>
    <row r="425" spans="1:12">
      <c r="A425" s="1">
        <v>42843</v>
      </c>
      <c r="B425" s="5">
        <v>626953</v>
      </c>
      <c r="C425">
        <f>B425/9</f>
        <v>69661.444444444438</v>
      </c>
      <c r="F425" t="s">
        <v>7</v>
      </c>
      <c r="K425" t="s">
        <v>467</v>
      </c>
      <c r="L425">
        <v>9</v>
      </c>
    </row>
    <row r="426" spans="1:12">
      <c r="A426" s="1"/>
      <c r="B426" s="5">
        <f>SUM(B423:B425)</f>
        <v>1536355</v>
      </c>
      <c r="D426" s="1">
        <v>42846</v>
      </c>
      <c r="E426">
        <v>1555934</v>
      </c>
      <c r="J426">
        <f>E426-B426</f>
        <v>19579</v>
      </c>
      <c r="K426" t="s">
        <v>490</v>
      </c>
    </row>
    <row r="427" spans="1:12">
      <c r="A427" s="1">
        <v>42842</v>
      </c>
      <c r="B427" s="5">
        <v>164845</v>
      </c>
      <c r="C427">
        <f>B427/3</f>
        <v>54948.333333333336</v>
      </c>
      <c r="K427" t="s">
        <v>465</v>
      </c>
      <c r="L427">
        <v>3</v>
      </c>
    </row>
    <row r="428" spans="1:12">
      <c r="A428" s="1">
        <v>42842</v>
      </c>
      <c r="B428" s="5">
        <v>1431263</v>
      </c>
      <c r="C428">
        <f>B428/26</f>
        <v>55048.576923076922</v>
      </c>
      <c r="K428" t="s">
        <v>466</v>
      </c>
      <c r="L428">
        <v>26</v>
      </c>
    </row>
    <row r="429" spans="1:12">
      <c r="A429" s="1"/>
      <c r="B429" s="5"/>
      <c r="D429" s="1">
        <v>42846</v>
      </c>
      <c r="E429">
        <v>725173</v>
      </c>
      <c r="K429" t="s">
        <v>494</v>
      </c>
    </row>
    <row r="430" spans="1:12">
      <c r="A430" s="1"/>
      <c r="B430" s="5"/>
      <c r="D430" s="1">
        <v>42846</v>
      </c>
      <c r="E430">
        <v>223131</v>
      </c>
      <c r="K430" t="s">
        <v>494</v>
      </c>
    </row>
    <row r="431" spans="1:12">
      <c r="A431" s="1"/>
      <c r="B431" s="5"/>
      <c r="D431" s="1">
        <v>42846</v>
      </c>
      <c r="E431">
        <v>669391</v>
      </c>
      <c r="K431" t="s">
        <v>494</v>
      </c>
    </row>
    <row r="432" spans="1:12">
      <c r="A432" s="1"/>
      <c r="B432" s="5">
        <f>SUM(B427:B428)</f>
        <v>1596108</v>
      </c>
      <c r="E432">
        <f>SUM(E429:E431)</f>
        <v>1617695</v>
      </c>
      <c r="J432">
        <f>E432-B432</f>
        <v>21587</v>
      </c>
      <c r="K432" t="s">
        <v>494</v>
      </c>
    </row>
    <row r="433" spans="1:12">
      <c r="A433" s="1">
        <v>42200</v>
      </c>
      <c r="B433">
        <v>4302</v>
      </c>
      <c r="C433" s="5">
        <f>B433/0.054</f>
        <v>79666.666666666672</v>
      </c>
      <c r="D433" s="1">
        <v>42846</v>
      </c>
      <c r="E433">
        <v>7410</v>
      </c>
      <c r="F433" t="s">
        <v>7</v>
      </c>
      <c r="J433">
        <f>E433-B433</f>
        <v>3108</v>
      </c>
      <c r="K433" t="s">
        <v>346</v>
      </c>
      <c r="L433">
        <v>5.3999999999999999E-2</v>
      </c>
    </row>
    <row r="434" spans="1:12">
      <c r="A434" s="1">
        <v>42815</v>
      </c>
      <c r="B434" s="5">
        <v>71162</v>
      </c>
      <c r="C434">
        <f>B434/1</f>
        <v>71162</v>
      </c>
      <c r="F434" t="s">
        <v>7</v>
      </c>
      <c r="K434" t="s">
        <v>455</v>
      </c>
      <c r="L434">
        <v>1</v>
      </c>
    </row>
    <row r="435" spans="1:12">
      <c r="A435" s="1">
        <v>42815</v>
      </c>
      <c r="B435" s="5">
        <v>71162</v>
      </c>
      <c r="C435">
        <f>B435/1</f>
        <v>71162</v>
      </c>
      <c r="F435" t="s">
        <v>7</v>
      </c>
      <c r="K435" t="s">
        <v>455</v>
      </c>
      <c r="L435">
        <v>1</v>
      </c>
    </row>
    <row r="436" spans="1:12">
      <c r="A436" s="1">
        <v>42815</v>
      </c>
      <c r="B436" s="5">
        <v>71362</v>
      </c>
      <c r="C436">
        <f>B436/1</f>
        <v>71362</v>
      </c>
      <c r="F436" t="s">
        <v>7</v>
      </c>
      <c r="K436" t="s">
        <v>455</v>
      </c>
      <c r="L436">
        <v>1</v>
      </c>
    </row>
    <row r="437" spans="1:12">
      <c r="A437" s="1">
        <v>42815</v>
      </c>
      <c r="B437" s="5">
        <v>214389</v>
      </c>
      <c r="C437">
        <f>B437/3</f>
        <v>71463</v>
      </c>
      <c r="F437" t="s">
        <v>7</v>
      </c>
      <c r="K437" t="s">
        <v>456</v>
      </c>
      <c r="L437">
        <v>3</v>
      </c>
    </row>
    <row r="438" spans="1:12">
      <c r="A438" s="1">
        <v>42835</v>
      </c>
      <c r="B438" s="5">
        <v>69661</v>
      </c>
      <c r="C438">
        <f>B438/1</f>
        <v>69661</v>
      </c>
      <c r="F438" t="s">
        <v>7</v>
      </c>
      <c r="K438" t="s">
        <v>450</v>
      </c>
      <c r="L438">
        <v>1</v>
      </c>
    </row>
    <row r="439" spans="1:12">
      <c r="A439" s="1">
        <v>42835</v>
      </c>
      <c r="B439" s="5">
        <v>139332</v>
      </c>
      <c r="C439">
        <f>B439/2</f>
        <v>69666</v>
      </c>
      <c r="F439" t="s">
        <v>7</v>
      </c>
      <c r="K439" t="s">
        <v>449</v>
      </c>
      <c r="L439">
        <v>2</v>
      </c>
    </row>
    <row r="440" spans="1:12">
      <c r="A440" s="1">
        <v>42843</v>
      </c>
      <c r="B440" s="5">
        <v>139322</v>
      </c>
      <c r="C440">
        <f>B440/2</f>
        <v>69661</v>
      </c>
      <c r="F440" t="s">
        <v>7</v>
      </c>
      <c r="K440" t="s">
        <v>449</v>
      </c>
      <c r="L440">
        <v>2</v>
      </c>
    </row>
    <row r="441" spans="1:12">
      <c r="A441" s="1">
        <v>42843</v>
      </c>
      <c r="B441" s="5">
        <v>139723</v>
      </c>
      <c r="C441">
        <f>B441/2</f>
        <v>69861.5</v>
      </c>
      <c r="F441" t="s">
        <v>7</v>
      </c>
      <c r="K441" t="s">
        <v>449</v>
      </c>
      <c r="L441">
        <v>2</v>
      </c>
    </row>
    <row r="442" spans="1:12">
      <c r="A442" s="1">
        <v>42846</v>
      </c>
      <c r="B442" s="5">
        <v>68860</v>
      </c>
      <c r="C442">
        <f>B442/1</f>
        <v>68860</v>
      </c>
      <c r="F442" t="s">
        <v>7</v>
      </c>
      <c r="K442" t="s">
        <v>450</v>
      </c>
      <c r="L442">
        <v>1</v>
      </c>
    </row>
    <row r="443" spans="1:12">
      <c r="A443" s="1">
        <v>42846</v>
      </c>
      <c r="B443" s="5">
        <v>68660</v>
      </c>
      <c r="C443">
        <f>B443/1</f>
        <v>68660</v>
      </c>
      <c r="F443" t="s">
        <v>7</v>
      </c>
      <c r="K443" t="s">
        <v>450</v>
      </c>
      <c r="L443">
        <v>1</v>
      </c>
    </row>
    <row r="444" spans="1:12">
      <c r="A444" s="1">
        <v>42846</v>
      </c>
      <c r="B444" s="5">
        <v>68660</v>
      </c>
      <c r="C444">
        <f>B444/1</f>
        <v>68660</v>
      </c>
      <c r="F444" t="s">
        <v>7</v>
      </c>
      <c r="K444" t="s">
        <v>450</v>
      </c>
      <c r="L444">
        <v>1</v>
      </c>
    </row>
    <row r="445" spans="1:12">
      <c r="A445" s="1">
        <v>42849</v>
      </c>
      <c r="B445" s="5">
        <v>980865</v>
      </c>
      <c r="C445">
        <f>B445/14</f>
        <v>70061.78571428571</v>
      </c>
      <c r="F445" t="s">
        <v>7</v>
      </c>
      <c r="K445" t="s">
        <v>469</v>
      </c>
      <c r="L445">
        <v>14</v>
      </c>
    </row>
    <row r="446" spans="1:12">
      <c r="A446" s="1"/>
      <c r="B446" s="5">
        <f>SUM(B434:B445)</f>
        <v>2103158</v>
      </c>
      <c r="D446" s="1">
        <v>42851</v>
      </c>
      <c r="E446">
        <v>2172531</v>
      </c>
      <c r="J446">
        <f>E446-B446</f>
        <v>69373</v>
      </c>
      <c r="K446" t="s">
        <v>490</v>
      </c>
    </row>
    <row r="447" spans="1:12">
      <c r="A447" s="1">
        <v>42853</v>
      </c>
      <c r="B447" s="5">
        <v>112098</v>
      </c>
      <c r="C447">
        <f>B447/2</f>
        <v>56049</v>
      </c>
      <c r="D447" s="1">
        <v>42857</v>
      </c>
      <c r="E447">
        <v>114554</v>
      </c>
      <c r="F447" t="s">
        <v>7</v>
      </c>
      <c r="J447">
        <f>E447-B447</f>
        <v>2456</v>
      </c>
      <c r="K447" t="s">
        <v>470</v>
      </c>
      <c r="L447">
        <v>2</v>
      </c>
    </row>
    <row r="448" spans="1:12">
      <c r="A448" s="1"/>
      <c r="B448" s="5"/>
      <c r="D448" s="1">
        <v>42857</v>
      </c>
      <c r="J448">
        <v>2413</v>
      </c>
      <c r="K448" t="s">
        <v>471</v>
      </c>
    </row>
    <row r="449" spans="1:12">
      <c r="A449" s="1"/>
      <c r="B449" s="5"/>
      <c r="D449" s="1">
        <v>42862</v>
      </c>
      <c r="J449">
        <v>-24028</v>
      </c>
      <c r="K449" t="s">
        <v>473</v>
      </c>
    </row>
    <row r="450" spans="1:12">
      <c r="A450" s="1"/>
      <c r="B450" s="5"/>
      <c r="D450" s="1">
        <v>42862</v>
      </c>
      <c r="J450">
        <v>19397</v>
      </c>
      <c r="K450" t="s">
        <v>474</v>
      </c>
    </row>
    <row r="451" spans="1:12">
      <c r="A451" s="1">
        <v>42850</v>
      </c>
      <c r="B451" s="5">
        <v>102590</v>
      </c>
      <c r="C451">
        <f>B451/1</f>
        <v>102590</v>
      </c>
      <c r="D451" s="1">
        <v>42864</v>
      </c>
      <c r="E451">
        <v>105109</v>
      </c>
      <c r="F451" t="s">
        <v>7</v>
      </c>
      <c r="J451">
        <f>E451-B451</f>
        <v>2519</v>
      </c>
      <c r="K451" t="s">
        <v>445</v>
      </c>
      <c r="L451">
        <v>1</v>
      </c>
    </row>
    <row r="452" spans="1:12">
      <c r="A452" s="1">
        <v>42850</v>
      </c>
      <c r="B452" s="5">
        <v>2091846</v>
      </c>
      <c r="C452">
        <f>B452/20</f>
        <v>104592.3</v>
      </c>
      <c r="F452" t="s">
        <v>7</v>
      </c>
      <c r="K452" t="s">
        <v>468</v>
      </c>
      <c r="L452">
        <v>20</v>
      </c>
    </row>
    <row r="453" spans="1:12">
      <c r="A453" s="1">
        <v>42846</v>
      </c>
      <c r="B453" s="5">
        <v>1035914</v>
      </c>
      <c r="C453">
        <f>B453/10</f>
        <v>103591.4</v>
      </c>
      <c r="F453" t="s">
        <v>7</v>
      </c>
      <c r="K453" t="s">
        <v>475</v>
      </c>
      <c r="L453">
        <v>10</v>
      </c>
    </row>
    <row r="454" spans="1:12">
      <c r="A454" s="1"/>
      <c r="B454" s="5"/>
      <c r="D454" s="1">
        <v>42864</v>
      </c>
      <c r="E454">
        <v>105109</v>
      </c>
      <c r="K454" t="s">
        <v>493</v>
      </c>
    </row>
    <row r="455" spans="1:12">
      <c r="A455" s="1"/>
      <c r="B455" s="5"/>
      <c r="D455" s="1">
        <v>42864</v>
      </c>
      <c r="E455">
        <v>3048143</v>
      </c>
      <c r="K455" t="s">
        <v>493</v>
      </c>
    </row>
    <row r="456" spans="1:12">
      <c r="A456" s="1"/>
      <c r="B456" s="5">
        <f>SUM(B452:B453)</f>
        <v>3127760</v>
      </c>
      <c r="D456" s="1"/>
      <c r="E456">
        <f>SUM(E454:E455)</f>
        <v>3153252</v>
      </c>
      <c r="J456">
        <f>E456-B456</f>
        <v>25492</v>
      </c>
      <c r="K456" t="s">
        <v>493</v>
      </c>
    </row>
    <row r="457" spans="1:12">
      <c r="A457" s="1">
        <v>42846</v>
      </c>
      <c r="B457" s="5">
        <v>1035914</v>
      </c>
      <c r="C457">
        <f>B457/10</f>
        <v>103591.4</v>
      </c>
      <c r="F457" t="s">
        <v>7</v>
      </c>
      <c r="K457" t="s">
        <v>475</v>
      </c>
      <c r="L457">
        <v>10</v>
      </c>
    </row>
    <row r="458" spans="1:12">
      <c r="A458" s="1">
        <v>42852</v>
      </c>
      <c r="B458" s="5">
        <v>2041802</v>
      </c>
      <c r="C458">
        <f>B458/20</f>
        <v>102090.1</v>
      </c>
      <c r="F458" t="s">
        <v>7</v>
      </c>
      <c r="K458" t="s">
        <v>468</v>
      </c>
      <c r="L458">
        <v>20</v>
      </c>
    </row>
    <row r="459" spans="1:12">
      <c r="A459" s="1"/>
      <c r="B459" s="5">
        <f>SUM(B457:B458)</f>
        <v>3077716</v>
      </c>
      <c r="D459" s="1">
        <v>42865</v>
      </c>
      <c r="E459">
        <v>3153250</v>
      </c>
      <c r="J459">
        <f>E459-B459</f>
        <v>75534</v>
      </c>
      <c r="K459" t="s">
        <v>493</v>
      </c>
    </row>
    <row r="460" spans="1:12">
      <c r="A460" s="1">
        <v>42800</v>
      </c>
      <c r="B460" s="5">
        <v>74052</v>
      </c>
      <c r="C460">
        <f>B460/1</f>
        <v>74052</v>
      </c>
      <c r="F460" t="s">
        <v>7</v>
      </c>
      <c r="K460" t="s">
        <v>447</v>
      </c>
      <c r="L460">
        <v>1</v>
      </c>
    </row>
    <row r="461" spans="1:12">
      <c r="A461" s="1">
        <v>42787</v>
      </c>
      <c r="B461" s="5">
        <v>74252</v>
      </c>
      <c r="C461">
        <f>B461/1</f>
        <v>74252</v>
      </c>
      <c r="F461" t="s">
        <v>7</v>
      </c>
      <c r="K461" t="s">
        <v>447</v>
      </c>
      <c r="L461">
        <v>1</v>
      </c>
    </row>
    <row r="462" spans="1:12">
      <c r="A462" s="1"/>
      <c r="B462" s="5">
        <f>SUM(B460:B461)</f>
        <v>148304</v>
      </c>
      <c r="D462" s="1">
        <v>42880</v>
      </c>
      <c r="E462">
        <v>149046</v>
      </c>
      <c r="J462">
        <f>E462-B462</f>
        <v>742</v>
      </c>
      <c r="K462" t="s">
        <v>495</v>
      </c>
    </row>
    <row r="463" spans="1:12">
      <c r="A463" s="1">
        <v>42314</v>
      </c>
      <c r="B463" s="5">
        <v>117833</v>
      </c>
      <c r="C463" s="5">
        <f>B463/3</f>
        <v>39277.666666666664</v>
      </c>
      <c r="D463" s="4"/>
      <c r="E463" s="5"/>
      <c r="F463" t="s">
        <v>7</v>
      </c>
      <c r="K463" t="s">
        <v>357</v>
      </c>
      <c r="L463">
        <v>3</v>
      </c>
    </row>
    <row r="464" spans="1:12">
      <c r="A464" s="1">
        <v>42325</v>
      </c>
      <c r="B464" s="5">
        <v>76454</v>
      </c>
      <c r="C464" s="5">
        <f>B464/2</f>
        <v>38227</v>
      </c>
      <c r="D464" s="4"/>
      <c r="E464" s="5"/>
      <c r="F464" t="s">
        <v>7</v>
      </c>
      <c r="K464" t="s">
        <v>341</v>
      </c>
      <c r="L464">
        <v>2</v>
      </c>
    </row>
    <row r="465" spans="1:12">
      <c r="A465" s="1">
        <v>42325</v>
      </c>
      <c r="B465" s="5">
        <v>38377</v>
      </c>
      <c r="C465" s="5">
        <f>B465/1</f>
        <v>38377</v>
      </c>
      <c r="D465" s="4"/>
      <c r="E465" s="5"/>
      <c r="F465" t="s">
        <v>7</v>
      </c>
      <c r="K465" t="s">
        <v>331</v>
      </c>
      <c r="L465">
        <v>1</v>
      </c>
    </row>
    <row r="466" spans="1:12">
      <c r="A466" s="1">
        <v>42170</v>
      </c>
      <c r="B466" s="5">
        <v>76965</v>
      </c>
      <c r="C466" s="5">
        <f>B466/2</f>
        <v>38482.5</v>
      </c>
      <c r="D466" s="4"/>
      <c r="E466" s="5"/>
      <c r="F466" t="s">
        <v>7</v>
      </c>
      <c r="K466" t="s">
        <v>341</v>
      </c>
      <c r="L466">
        <v>2</v>
      </c>
    </row>
    <row r="467" spans="1:12">
      <c r="A467" s="1"/>
      <c r="B467" s="5"/>
      <c r="D467" s="1"/>
      <c r="E467">
        <v>31683</v>
      </c>
      <c r="K467" t="s">
        <v>492</v>
      </c>
    </row>
    <row r="468" spans="1:12">
      <c r="A468" s="1"/>
      <c r="B468" s="5"/>
      <c r="D468" s="1"/>
      <c r="E468">
        <v>31683</v>
      </c>
      <c r="K468" t="s">
        <v>492</v>
      </c>
    </row>
    <row r="469" spans="1:12">
      <c r="A469" s="1"/>
      <c r="B469" s="5"/>
      <c r="D469" s="1"/>
      <c r="E469">
        <v>64465</v>
      </c>
      <c r="K469" t="s">
        <v>492</v>
      </c>
    </row>
    <row r="470" spans="1:12">
      <c r="A470" s="1"/>
      <c r="B470" s="5"/>
      <c r="D470" s="1"/>
      <c r="E470">
        <v>31733</v>
      </c>
      <c r="K470" t="s">
        <v>492</v>
      </c>
    </row>
    <row r="471" spans="1:12">
      <c r="A471" s="1"/>
      <c r="B471" s="5"/>
      <c r="D471" s="1"/>
      <c r="E471">
        <v>31733</v>
      </c>
      <c r="K471" t="s">
        <v>492</v>
      </c>
    </row>
    <row r="472" spans="1:12">
      <c r="A472" s="1"/>
      <c r="B472" s="5"/>
      <c r="D472" s="1"/>
      <c r="E472">
        <v>31683</v>
      </c>
      <c r="K472" t="s">
        <v>492</v>
      </c>
    </row>
    <row r="473" spans="1:12">
      <c r="A473" s="1"/>
      <c r="B473" s="5"/>
      <c r="D473" s="1"/>
      <c r="E473">
        <v>31484</v>
      </c>
      <c r="K473" t="s">
        <v>492</v>
      </c>
    </row>
    <row r="474" spans="1:12">
      <c r="A474" s="1"/>
      <c r="B474" s="5">
        <f>SUM(B463:B466)</f>
        <v>309629</v>
      </c>
      <c r="D474" s="1">
        <v>42881</v>
      </c>
      <c r="E474">
        <f>SUM(E467:E473)</f>
        <v>254464</v>
      </c>
      <c r="J474">
        <f>E474-B474</f>
        <v>-55165</v>
      </c>
    </row>
    <row r="475" spans="1:12">
      <c r="A475" s="1">
        <v>42881</v>
      </c>
      <c r="B475" s="5">
        <v>69649</v>
      </c>
      <c r="C475">
        <f>B475/1</f>
        <v>69649</v>
      </c>
      <c r="F475" t="s">
        <v>7</v>
      </c>
      <c r="K475" t="s">
        <v>450</v>
      </c>
      <c r="L475">
        <v>1</v>
      </c>
    </row>
    <row r="476" spans="1:12">
      <c r="A476" s="1">
        <v>42881</v>
      </c>
      <c r="B476" s="5">
        <v>69649</v>
      </c>
      <c r="C476">
        <f>B476/1</f>
        <v>69649</v>
      </c>
      <c r="F476" t="s">
        <v>7</v>
      </c>
      <c r="K476" t="s">
        <v>450</v>
      </c>
      <c r="L476">
        <v>1</v>
      </c>
    </row>
    <row r="477" spans="1:12">
      <c r="A477" s="1"/>
      <c r="B477" s="5">
        <f>SUM(B475:B476)</f>
        <v>139298</v>
      </c>
      <c r="D477" s="1">
        <v>42887</v>
      </c>
      <c r="E477">
        <v>139879</v>
      </c>
      <c r="J477">
        <f>E477-B477</f>
        <v>581</v>
      </c>
      <c r="K477" t="s">
        <v>490</v>
      </c>
    </row>
    <row r="478" spans="1:12">
      <c r="A478" s="1"/>
      <c r="B478" s="5"/>
      <c r="D478" s="1">
        <v>42887</v>
      </c>
      <c r="J478">
        <v>-520</v>
      </c>
      <c r="K478" s="12" t="s">
        <v>482</v>
      </c>
    </row>
    <row r="479" spans="1:12">
      <c r="A479" s="1">
        <v>42312</v>
      </c>
      <c r="B479" s="5">
        <v>168119</v>
      </c>
      <c r="C479" s="5">
        <f>B479/4</f>
        <v>42029.75</v>
      </c>
      <c r="D479" s="1">
        <v>42888</v>
      </c>
      <c r="E479" s="5">
        <v>129518</v>
      </c>
      <c r="F479" t="s">
        <v>7</v>
      </c>
      <c r="J479">
        <f>E479-B479</f>
        <v>-38601</v>
      </c>
      <c r="K479" t="s">
        <v>348</v>
      </c>
      <c r="L479">
        <v>4</v>
      </c>
    </row>
    <row r="480" spans="1:12">
      <c r="A480" s="1">
        <v>42874</v>
      </c>
      <c r="B480" s="5">
        <v>40678</v>
      </c>
      <c r="C480">
        <f>B480/3</f>
        <v>13559.333333333334</v>
      </c>
      <c r="D480" s="1">
        <v>42888</v>
      </c>
      <c r="E480">
        <v>41098</v>
      </c>
      <c r="F480" t="s">
        <v>7</v>
      </c>
      <c r="J480">
        <f>E480-B480</f>
        <v>420</v>
      </c>
      <c r="K480" t="s">
        <v>481</v>
      </c>
      <c r="L480">
        <v>3</v>
      </c>
    </row>
    <row r="481" spans="1:12">
      <c r="A481" s="1">
        <v>42888</v>
      </c>
      <c r="B481" s="5">
        <v>86061</v>
      </c>
      <c r="C481">
        <f>B481/1</f>
        <v>86061</v>
      </c>
      <c r="D481" s="1">
        <v>42889</v>
      </c>
      <c r="E481">
        <v>86479</v>
      </c>
      <c r="J481">
        <f>E481-B481</f>
        <v>418</v>
      </c>
      <c r="K481" t="s">
        <v>483</v>
      </c>
      <c r="L481">
        <v>1</v>
      </c>
    </row>
    <row r="482" spans="1:12">
      <c r="A482" s="1">
        <v>42888</v>
      </c>
      <c r="B482" s="5">
        <v>85160</v>
      </c>
      <c r="C482">
        <f>B482/1</f>
        <v>85160</v>
      </c>
      <c r="D482" s="1">
        <v>42889</v>
      </c>
      <c r="E482">
        <v>86479</v>
      </c>
      <c r="J482">
        <f>E482-B482</f>
        <v>1319</v>
      </c>
      <c r="K482" t="s">
        <v>483</v>
      </c>
      <c r="L482">
        <v>1</v>
      </c>
    </row>
    <row r="483" spans="1:12">
      <c r="A483" s="1">
        <v>42549</v>
      </c>
      <c r="B483" s="5">
        <v>336288</v>
      </c>
      <c r="C483" s="5">
        <f>B483/8</f>
        <v>42036</v>
      </c>
      <c r="D483" s="1">
        <v>42889</v>
      </c>
      <c r="E483" s="5">
        <v>267406</v>
      </c>
      <c r="F483" t="s">
        <v>7</v>
      </c>
      <c r="J483">
        <f>E483-B483</f>
        <v>-68882</v>
      </c>
      <c r="K483" t="s">
        <v>487</v>
      </c>
      <c r="L483">
        <v>8</v>
      </c>
    </row>
    <row r="484" spans="1:12">
      <c r="A484" s="1">
        <v>42549</v>
      </c>
      <c r="B484" s="5">
        <v>84071</v>
      </c>
      <c r="C484" s="5">
        <f>B484/2</f>
        <v>42035.5</v>
      </c>
      <c r="D484" s="1">
        <v>42891</v>
      </c>
      <c r="E484" s="5">
        <v>66852</v>
      </c>
      <c r="F484" t="s">
        <v>7</v>
      </c>
      <c r="J484">
        <f t="shared" ref="J484:J485" si="23">E484-B484</f>
        <v>-17219</v>
      </c>
      <c r="K484" t="s">
        <v>488</v>
      </c>
      <c r="L484">
        <v>2</v>
      </c>
    </row>
    <row r="485" spans="1:12">
      <c r="A485" s="1">
        <v>42549</v>
      </c>
      <c r="B485" s="5">
        <v>83871</v>
      </c>
      <c r="C485" s="5">
        <f>B485/2</f>
        <v>41935.5</v>
      </c>
      <c r="D485" s="1">
        <v>42891</v>
      </c>
      <c r="E485" s="5">
        <v>66752</v>
      </c>
      <c r="F485" t="s">
        <v>7</v>
      </c>
      <c r="J485">
        <f t="shared" si="23"/>
        <v>-17119</v>
      </c>
      <c r="K485" t="s">
        <v>341</v>
      </c>
      <c r="L485">
        <v>2</v>
      </c>
    </row>
    <row r="486" spans="1:12">
      <c r="A486" s="1">
        <v>42784</v>
      </c>
      <c r="B486" s="5">
        <v>1509074</v>
      </c>
      <c r="C486">
        <f>B486/20</f>
        <v>75453.7</v>
      </c>
      <c r="F486" t="s">
        <v>7</v>
      </c>
      <c r="K486" t="s">
        <v>444</v>
      </c>
      <c r="L486">
        <v>20</v>
      </c>
    </row>
    <row r="487" spans="1:12">
      <c r="A487" s="1">
        <v>42787</v>
      </c>
      <c r="B487" s="5">
        <v>882628</v>
      </c>
      <c r="C487">
        <f>B487/12</f>
        <v>73552.333333333328</v>
      </c>
      <c r="F487" t="s">
        <v>7</v>
      </c>
      <c r="K487" t="s">
        <v>448</v>
      </c>
      <c r="L487">
        <v>12</v>
      </c>
    </row>
    <row r="488" spans="1:12">
      <c r="A488" s="1">
        <v>42789</v>
      </c>
      <c r="B488" s="5">
        <v>445593</v>
      </c>
      <c r="C488">
        <f>B488/6</f>
        <v>74265.5</v>
      </c>
      <c r="F488" t="s">
        <v>7</v>
      </c>
      <c r="K488" t="s">
        <v>457</v>
      </c>
      <c r="L488">
        <v>6</v>
      </c>
    </row>
    <row r="489" spans="1:12">
      <c r="A489" s="1">
        <v>42816</v>
      </c>
      <c r="B489" s="5">
        <v>77068</v>
      </c>
      <c r="C489">
        <f>B489/1</f>
        <v>77068</v>
      </c>
      <c r="F489" t="s">
        <v>7</v>
      </c>
      <c r="K489" t="s">
        <v>447</v>
      </c>
      <c r="L489">
        <v>1</v>
      </c>
    </row>
    <row r="490" spans="1:12">
      <c r="A490" s="1"/>
      <c r="B490" s="5"/>
      <c r="D490" s="1">
        <v>42893</v>
      </c>
      <c r="E490">
        <v>302872</v>
      </c>
      <c r="K490" t="s">
        <v>496</v>
      </c>
    </row>
    <row r="491" spans="1:12">
      <c r="A491" s="1"/>
      <c r="B491" s="5"/>
      <c r="D491" s="1">
        <v>42893</v>
      </c>
      <c r="E491">
        <v>907420</v>
      </c>
      <c r="K491" t="s">
        <v>496</v>
      </c>
    </row>
    <row r="492" spans="1:12">
      <c r="A492" s="1"/>
      <c r="B492" s="5"/>
      <c r="D492" s="1">
        <v>42893</v>
      </c>
      <c r="E492">
        <v>1736928</v>
      </c>
      <c r="K492" t="s">
        <v>496</v>
      </c>
    </row>
    <row r="493" spans="1:12">
      <c r="A493" s="1"/>
      <c r="B493" s="5">
        <f>SUM(B486:B489)</f>
        <v>2914363</v>
      </c>
      <c r="D493" s="1"/>
      <c r="E493">
        <f>SUM(E490:E492)</f>
        <v>2947220</v>
      </c>
      <c r="J493">
        <f>E493-B493</f>
        <v>32857</v>
      </c>
      <c r="K493" t="s">
        <v>496</v>
      </c>
    </row>
    <row r="494" spans="1:12">
      <c r="A494" s="1"/>
      <c r="B494" s="5"/>
      <c r="D494" s="1"/>
    </row>
    <row r="495" spans="1:12">
      <c r="A495" s="1"/>
      <c r="B495" s="5"/>
      <c r="D495" s="1"/>
    </row>
    <row r="496" spans="1:12">
      <c r="A496" s="1">
        <v>42611</v>
      </c>
      <c r="B496" s="5">
        <v>0</v>
      </c>
      <c r="C496" s="5"/>
      <c r="D496" s="4"/>
      <c r="E496" s="5"/>
      <c r="K496" t="s">
        <v>411</v>
      </c>
      <c r="L496">
        <v>1E-3</v>
      </c>
    </row>
    <row r="497" spans="1:12">
      <c r="A497" s="1">
        <v>42611</v>
      </c>
      <c r="B497" s="5">
        <v>0</v>
      </c>
      <c r="C497" s="5"/>
      <c r="D497" s="4"/>
      <c r="E497" s="5"/>
      <c r="K497" t="s">
        <v>412</v>
      </c>
      <c r="L497">
        <v>0.68</v>
      </c>
    </row>
    <row r="498" spans="1:12">
      <c r="A498" s="1">
        <v>42611</v>
      </c>
      <c r="B498" s="5">
        <v>0</v>
      </c>
      <c r="C498" s="5"/>
      <c r="D498" s="4"/>
      <c r="E498" s="5"/>
      <c r="K498" t="s">
        <v>413</v>
      </c>
      <c r="L498">
        <v>0.22600000000000001</v>
      </c>
    </row>
    <row r="499" spans="1:12">
      <c r="A499" s="1">
        <v>42314</v>
      </c>
      <c r="B499" s="5">
        <v>39728</v>
      </c>
      <c r="C499" s="5">
        <f>B499/1</f>
        <v>39728</v>
      </c>
      <c r="D499" s="4"/>
      <c r="E499" s="5"/>
      <c r="F499" t="s">
        <v>7</v>
      </c>
      <c r="K499" t="s">
        <v>331</v>
      </c>
      <c r="L499">
        <v>1</v>
      </c>
    </row>
    <row r="500" spans="1:12">
      <c r="A500" s="1">
        <v>42502</v>
      </c>
      <c r="B500" s="5">
        <v>2559</v>
      </c>
      <c r="C500" s="5">
        <f>B500/0.06</f>
        <v>42650</v>
      </c>
      <c r="D500" s="4"/>
      <c r="E500" s="5"/>
      <c r="F500" t="s">
        <v>7</v>
      </c>
      <c r="K500" t="s">
        <v>399</v>
      </c>
      <c r="L500">
        <v>0.06</v>
      </c>
    </row>
    <row r="501" spans="1:12">
      <c r="A501" s="1">
        <v>42503</v>
      </c>
      <c r="B501" s="5">
        <v>41884</v>
      </c>
      <c r="C501" s="5">
        <f>B501/1</f>
        <v>41884</v>
      </c>
      <c r="D501" s="4"/>
      <c r="E501" s="5"/>
      <c r="F501" t="s">
        <v>7</v>
      </c>
      <c r="K501" t="s">
        <v>331</v>
      </c>
      <c r="L501">
        <v>1</v>
      </c>
    </row>
    <row r="502" spans="1:12">
      <c r="A502" s="1" t="s">
        <v>451</v>
      </c>
      <c r="B502" s="5">
        <f>SUM(B496:B501)</f>
        <v>84171</v>
      </c>
      <c r="C502" s="5">
        <f>32.8*SUM(L496:L501)*1000</f>
        <v>97317.6</v>
      </c>
      <c r="D502" s="4"/>
      <c r="E502" s="5"/>
      <c r="G502">
        <f>SUM(L496:L501)*1000*2.6</f>
        <v>7714.2</v>
      </c>
      <c r="H502">
        <f>SUM(L496:L501)*1000*0.3</f>
        <v>890.1</v>
      </c>
      <c r="I502">
        <f>SUM(L496:L501)*1000*2.7</f>
        <v>8010.9000000000005</v>
      </c>
      <c r="J502">
        <f>C502-B502</f>
        <v>13146.600000000006</v>
      </c>
    </row>
    <row r="503" spans="1:12">
      <c r="A503" s="1">
        <v>42550</v>
      </c>
      <c r="B503" s="5">
        <v>873464</v>
      </c>
      <c r="C503">
        <f>B503/9</f>
        <v>97051.555555555562</v>
      </c>
      <c r="F503" t="s">
        <v>7</v>
      </c>
      <c r="K503" t="s">
        <v>463</v>
      </c>
      <c r="L503">
        <v>9</v>
      </c>
    </row>
    <row r="504" spans="1:12">
      <c r="A504" s="1" t="s">
        <v>452</v>
      </c>
      <c r="B504" s="5">
        <f>SUM(B503:B503)</f>
        <v>873464</v>
      </c>
      <c r="C504">
        <f>70.9*SUM(L503:L503)*1000</f>
        <v>638100</v>
      </c>
      <c r="G504">
        <f>SUM(L503)*1000*4.2</f>
        <v>37800</v>
      </c>
      <c r="I504">
        <f>SUM(L503)*1000*4.2</f>
        <v>37800</v>
      </c>
      <c r="J504">
        <f>C504-B504</f>
        <v>-235364</v>
      </c>
    </row>
    <row r="505" spans="1:12">
      <c r="A505" s="1">
        <v>42857</v>
      </c>
      <c r="B505" s="5">
        <v>144327</v>
      </c>
      <c r="C505">
        <f>B505/2</f>
        <v>72163.5</v>
      </c>
      <c r="F505" t="s">
        <v>7</v>
      </c>
      <c r="K505" t="s">
        <v>449</v>
      </c>
      <c r="L505">
        <v>2</v>
      </c>
    </row>
    <row r="506" spans="1:12">
      <c r="A506" s="1">
        <v>42864</v>
      </c>
      <c r="B506" s="5">
        <v>139899</v>
      </c>
      <c r="C506">
        <f>B506/2</f>
        <v>69949.5</v>
      </c>
      <c r="F506" t="s">
        <v>7</v>
      </c>
      <c r="K506" t="s">
        <v>449</v>
      </c>
      <c r="L506">
        <v>2</v>
      </c>
    </row>
    <row r="507" spans="1:12">
      <c r="A507" s="1">
        <v>42864</v>
      </c>
      <c r="B507" s="5">
        <v>68849</v>
      </c>
      <c r="C507">
        <f>B507/1</f>
        <v>68849</v>
      </c>
      <c r="F507" t="s">
        <v>7</v>
      </c>
      <c r="K507" t="s">
        <v>450</v>
      </c>
      <c r="L507">
        <v>1</v>
      </c>
    </row>
    <row r="508" spans="1:12">
      <c r="A508" s="1">
        <v>42865</v>
      </c>
      <c r="B508" s="5">
        <v>138498</v>
      </c>
      <c r="C508">
        <f>B508/2</f>
        <v>69249</v>
      </c>
      <c r="F508" t="s">
        <v>7</v>
      </c>
      <c r="K508" t="s">
        <v>449</v>
      </c>
      <c r="L508">
        <v>2</v>
      </c>
    </row>
    <row r="509" spans="1:12">
      <c r="A509" s="1">
        <v>42865</v>
      </c>
      <c r="B509" s="5">
        <v>693493</v>
      </c>
      <c r="C509">
        <f>B509/10</f>
        <v>69349.3</v>
      </c>
      <c r="F509" t="s">
        <v>7</v>
      </c>
      <c r="K509" t="s">
        <v>476</v>
      </c>
      <c r="L509">
        <v>10</v>
      </c>
    </row>
    <row r="510" spans="1:12">
      <c r="A510" s="1">
        <v>42865</v>
      </c>
      <c r="B510" s="5">
        <v>695495</v>
      </c>
      <c r="C510">
        <f>B510/10</f>
        <v>69549.5</v>
      </c>
      <c r="F510" t="s">
        <v>7</v>
      </c>
      <c r="K510" t="s">
        <v>476</v>
      </c>
      <c r="L510">
        <v>10</v>
      </c>
    </row>
    <row r="511" spans="1:12">
      <c r="A511" s="1">
        <v>42865</v>
      </c>
      <c r="B511" s="5">
        <v>1044743</v>
      </c>
      <c r="C511">
        <f>B511/15</f>
        <v>69649.53333333334</v>
      </c>
      <c r="F511" t="s">
        <v>7</v>
      </c>
      <c r="K511" t="s">
        <v>477</v>
      </c>
      <c r="L511">
        <v>15</v>
      </c>
    </row>
    <row r="512" spans="1:12">
      <c r="A512" s="1">
        <v>42865</v>
      </c>
      <c r="B512" s="5">
        <v>69749</v>
      </c>
      <c r="C512">
        <f>B512/1</f>
        <v>69749</v>
      </c>
      <c r="F512" t="s">
        <v>7</v>
      </c>
      <c r="K512" t="s">
        <v>450</v>
      </c>
      <c r="L512">
        <v>1</v>
      </c>
    </row>
    <row r="513" spans="1:12">
      <c r="A513" s="1">
        <v>42866</v>
      </c>
      <c r="B513" s="5">
        <v>700498</v>
      </c>
      <c r="C513">
        <f>B513/10</f>
        <v>70049.8</v>
      </c>
      <c r="F513" t="s">
        <v>7</v>
      </c>
      <c r="K513" t="s">
        <v>476</v>
      </c>
      <c r="L513">
        <v>10</v>
      </c>
    </row>
    <row r="514" spans="1:12">
      <c r="A514" s="1">
        <v>42866</v>
      </c>
      <c r="B514" s="5">
        <v>69949</v>
      </c>
      <c r="C514">
        <f>B514/1</f>
        <v>69949</v>
      </c>
      <c r="F514" t="s">
        <v>7</v>
      </c>
      <c r="K514" t="s">
        <v>450</v>
      </c>
      <c r="L514">
        <v>1</v>
      </c>
    </row>
    <row r="515" spans="1:12">
      <c r="A515" s="1">
        <v>42866</v>
      </c>
      <c r="B515" s="5">
        <v>419698</v>
      </c>
      <c r="C515">
        <f>B515/6</f>
        <v>69949.666666666672</v>
      </c>
      <c r="F515" t="s">
        <v>7</v>
      </c>
      <c r="K515" t="s">
        <v>478</v>
      </c>
      <c r="L515">
        <v>6</v>
      </c>
    </row>
    <row r="516" spans="1:12">
      <c r="A516" s="1">
        <v>42866</v>
      </c>
      <c r="B516" s="5">
        <v>139099</v>
      </c>
      <c r="C516">
        <f>B516/2</f>
        <v>69549.5</v>
      </c>
      <c r="F516" t="s">
        <v>7</v>
      </c>
      <c r="K516" t="s">
        <v>449</v>
      </c>
      <c r="L516">
        <v>2</v>
      </c>
    </row>
    <row r="517" spans="1:12">
      <c r="A517" s="1">
        <v>42866</v>
      </c>
      <c r="B517" s="5">
        <v>139099</v>
      </c>
      <c r="C517">
        <f>B517/2</f>
        <v>69549.5</v>
      </c>
      <c r="F517" t="s">
        <v>7</v>
      </c>
      <c r="K517" t="s">
        <v>449</v>
      </c>
      <c r="L517">
        <v>2</v>
      </c>
    </row>
    <row r="518" spans="1:12">
      <c r="A518" s="1">
        <v>42866</v>
      </c>
      <c r="B518" s="5">
        <v>417297</v>
      </c>
      <c r="C518">
        <f>B518/6</f>
        <v>69549.5</v>
      </c>
      <c r="F518" t="s">
        <v>7</v>
      </c>
      <c r="K518" t="s">
        <v>478</v>
      </c>
      <c r="L518">
        <v>6</v>
      </c>
    </row>
    <row r="519" spans="1:12">
      <c r="A519" s="1">
        <v>42866</v>
      </c>
      <c r="B519" s="5">
        <v>68548</v>
      </c>
      <c r="C519">
        <f>B519/1</f>
        <v>68548</v>
      </c>
      <c r="F519" t="s">
        <v>7</v>
      </c>
      <c r="K519" t="s">
        <v>450</v>
      </c>
      <c r="L519">
        <v>1</v>
      </c>
    </row>
    <row r="520" spans="1:12">
      <c r="A520" s="1">
        <v>42866</v>
      </c>
      <c r="B520" s="5">
        <v>274195</v>
      </c>
      <c r="C520">
        <f>B520/4</f>
        <v>68548.75</v>
      </c>
      <c r="F520" t="s">
        <v>7</v>
      </c>
      <c r="K520" t="s">
        <v>479</v>
      </c>
      <c r="L520">
        <v>4</v>
      </c>
    </row>
    <row r="521" spans="1:12">
      <c r="A521" s="1">
        <v>42866</v>
      </c>
      <c r="B521" s="5">
        <v>342744</v>
      </c>
      <c r="C521">
        <f>B521/5</f>
        <v>68548.800000000003</v>
      </c>
      <c r="F521" t="s">
        <v>7</v>
      </c>
      <c r="K521" t="s">
        <v>480</v>
      </c>
      <c r="L521">
        <v>5</v>
      </c>
    </row>
    <row r="522" spans="1:12">
      <c r="A522" s="1">
        <v>42870</v>
      </c>
      <c r="B522" s="5">
        <v>275396</v>
      </c>
      <c r="C522">
        <f>B522/4</f>
        <v>68849</v>
      </c>
      <c r="F522" t="s">
        <v>7</v>
      </c>
      <c r="K522" t="s">
        <v>453</v>
      </c>
      <c r="L522">
        <v>4</v>
      </c>
    </row>
    <row r="523" spans="1:12">
      <c r="A523" s="1">
        <v>42870</v>
      </c>
      <c r="B523" s="5">
        <v>68849</v>
      </c>
      <c r="C523">
        <f>B523/1</f>
        <v>68849</v>
      </c>
      <c r="F523" t="s">
        <v>7</v>
      </c>
      <c r="K523" t="s">
        <v>450</v>
      </c>
      <c r="L523">
        <v>1</v>
      </c>
    </row>
    <row r="524" spans="1:12">
      <c r="A524" s="1">
        <v>42870</v>
      </c>
      <c r="B524" s="5">
        <v>276967</v>
      </c>
      <c r="C524">
        <f>B524/4</f>
        <v>69241.75</v>
      </c>
      <c r="F524" t="s">
        <v>7</v>
      </c>
      <c r="K524" t="s">
        <v>453</v>
      </c>
      <c r="L524">
        <v>4</v>
      </c>
    </row>
    <row r="525" spans="1:12">
      <c r="A525" s="1">
        <v>42870</v>
      </c>
      <c r="B525" s="5">
        <v>348748</v>
      </c>
      <c r="C525">
        <f>B525/5</f>
        <v>69749.600000000006</v>
      </c>
      <c r="F525" t="s">
        <v>7</v>
      </c>
      <c r="K525" t="s">
        <v>480</v>
      </c>
      <c r="L525">
        <v>5</v>
      </c>
    </row>
    <row r="526" spans="1:12">
      <c r="A526" s="1">
        <v>42880</v>
      </c>
      <c r="B526" s="5">
        <v>140299</v>
      </c>
      <c r="C526">
        <f>B526/2</f>
        <v>70149.5</v>
      </c>
      <c r="F526" t="s">
        <v>7</v>
      </c>
      <c r="K526" t="s">
        <v>449</v>
      </c>
      <c r="L526">
        <v>2</v>
      </c>
    </row>
    <row r="527" spans="1:12">
      <c r="A527" s="1">
        <v>42881</v>
      </c>
      <c r="B527" s="5">
        <v>139499</v>
      </c>
      <c r="C527">
        <f>B527/2</f>
        <v>69749.5</v>
      </c>
      <c r="F527" t="s">
        <v>7</v>
      </c>
      <c r="K527" t="s">
        <v>449</v>
      </c>
      <c r="L527">
        <v>2</v>
      </c>
    </row>
    <row r="528" spans="1:12">
      <c r="A528" s="1">
        <v>42887</v>
      </c>
      <c r="B528" s="5">
        <v>138698</v>
      </c>
      <c r="C528">
        <f>B528/2</f>
        <v>69349</v>
      </c>
      <c r="F528" t="s">
        <v>7</v>
      </c>
      <c r="K528" t="s">
        <v>449</v>
      </c>
      <c r="L528">
        <v>2</v>
      </c>
    </row>
    <row r="529" spans="1:12">
      <c r="A529" s="1">
        <v>42889</v>
      </c>
      <c r="B529" s="5">
        <v>146104</v>
      </c>
      <c r="C529">
        <f>B529/2</f>
        <v>73052</v>
      </c>
      <c r="F529" t="s">
        <v>7</v>
      </c>
      <c r="K529" t="s">
        <v>449</v>
      </c>
      <c r="L529">
        <v>2</v>
      </c>
    </row>
    <row r="530" spans="1:12">
      <c r="A530" s="1">
        <v>42894</v>
      </c>
      <c r="B530" s="5">
        <v>345245</v>
      </c>
      <c r="C530">
        <f>B530/5</f>
        <v>69049</v>
      </c>
      <c r="F530" t="s">
        <v>7</v>
      </c>
      <c r="K530" t="s">
        <v>480</v>
      </c>
      <c r="L530">
        <v>5</v>
      </c>
    </row>
    <row r="531" spans="1:12">
      <c r="A531" s="1">
        <v>42894</v>
      </c>
      <c r="B531" s="5">
        <v>139499</v>
      </c>
      <c r="C531">
        <f>B531/2</f>
        <v>69749.5</v>
      </c>
      <c r="F531" t="s">
        <v>7</v>
      </c>
      <c r="K531" t="s">
        <v>449</v>
      </c>
      <c r="L531">
        <v>2</v>
      </c>
    </row>
    <row r="532" spans="1:12">
      <c r="A532" s="1" t="s">
        <v>472</v>
      </c>
      <c r="B532" s="5">
        <f>SUM(B505:B531)</f>
        <v>7585484</v>
      </c>
      <c r="C532">
        <f>69.6*SUM(L505:L531)*1000</f>
        <v>7586400</v>
      </c>
      <c r="G532">
        <f>SUM(L505:L531)*1000*3</f>
        <v>327000</v>
      </c>
      <c r="H532">
        <f>SUM(L505:L531)*1000*6</f>
        <v>654000</v>
      </c>
      <c r="I532">
        <f>SUM(L505:L531)*1000*4</f>
        <v>436000</v>
      </c>
      <c r="J532">
        <f>C532-B532</f>
        <v>916</v>
      </c>
    </row>
    <row r="533" spans="1:12">
      <c r="A533" s="1">
        <v>42891</v>
      </c>
      <c r="B533" s="5">
        <v>141500</v>
      </c>
      <c r="C533">
        <f>B533/2</f>
        <v>70750</v>
      </c>
      <c r="D533" s="1"/>
      <c r="K533" t="s">
        <v>484</v>
      </c>
      <c r="L533">
        <v>2</v>
      </c>
    </row>
    <row r="534" spans="1:12">
      <c r="A534" s="1">
        <v>42891</v>
      </c>
      <c r="B534" s="5">
        <v>70550</v>
      </c>
      <c r="C534">
        <f t="shared" ref="C534:C542" si="24">B534/1</f>
        <v>70550</v>
      </c>
      <c r="D534" s="1"/>
      <c r="K534" t="s">
        <v>485</v>
      </c>
      <c r="L534">
        <v>1</v>
      </c>
    </row>
    <row r="535" spans="1:12">
      <c r="A535" s="1">
        <v>42891</v>
      </c>
      <c r="B535" s="5">
        <v>70350</v>
      </c>
      <c r="C535">
        <f t="shared" si="24"/>
        <v>70350</v>
      </c>
      <c r="D535" s="1"/>
      <c r="K535" t="s">
        <v>485</v>
      </c>
      <c r="L535">
        <v>1</v>
      </c>
    </row>
    <row r="536" spans="1:12">
      <c r="A536" s="1">
        <v>42891</v>
      </c>
      <c r="B536" s="5">
        <v>69649</v>
      </c>
      <c r="C536">
        <f t="shared" si="24"/>
        <v>69649</v>
      </c>
      <c r="D536" s="1"/>
      <c r="K536" t="s">
        <v>485</v>
      </c>
      <c r="L536">
        <v>1</v>
      </c>
    </row>
    <row r="537" spans="1:12">
      <c r="A537" s="1">
        <v>42891</v>
      </c>
      <c r="B537" s="5">
        <v>69749</v>
      </c>
      <c r="C537">
        <f t="shared" si="24"/>
        <v>69749</v>
      </c>
      <c r="D537" s="1"/>
      <c r="K537" t="s">
        <v>485</v>
      </c>
      <c r="L537">
        <v>1</v>
      </c>
    </row>
    <row r="538" spans="1:12">
      <c r="A538" s="1">
        <v>42893</v>
      </c>
      <c r="B538" s="5">
        <v>69949</v>
      </c>
      <c r="C538">
        <f t="shared" si="24"/>
        <v>69949</v>
      </c>
      <c r="D538" s="1"/>
      <c r="K538" t="s">
        <v>485</v>
      </c>
      <c r="L538">
        <v>1</v>
      </c>
    </row>
    <row r="539" spans="1:12">
      <c r="A539" s="1">
        <v>42893</v>
      </c>
      <c r="B539" s="5">
        <v>68048</v>
      </c>
      <c r="C539">
        <f t="shared" si="24"/>
        <v>68048</v>
      </c>
      <c r="D539" s="1"/>
      <c r="K539" t="s">
        <v>485</v>
      </c>
      <c r="L539">
        <v>1</v>
      </c>
    </row>
    <row r="540" spans="1:12">
      <c r="A540" s="1">
        <v>42893</v>
      </c>
      <c r="B540" s="5">
        <v>67648</v>
      </c>
      <c r="C540">
        <f t="shared" si="24"/>
        <v>67648</v>
      </c>
      <c r="D540" s="1"/>
      <c r="K540" t="s">
        <v>485</v>
      </c>
      <c r="L540">
        <v>1</v>
      </c>
    </row>
    <row r="541" spans="1:12">
      <c r="A541" s="1">
        <v>42893</v>
      </c>
      <c r="B541" s="5">
        <v>67648</v>
      </c>
      <c r="C541">
        <f t="shared" si="24"/>
        <v>67648</v>
      </c>
      <c r="D541" s="1"/>
      <c r="K541" t="s">
        <v>485</v>
      </c>
      <c r="L541">
        <v>1</v>
      </c>
    </row>
    <row r="542" spans="1:12">
      <c r="A542" s="1">
        <v>42893</v>
      </c>
      <c r="B542" s="5">
        <v>67748</v>
      </c>
      <c r="C542">
        <f t="shared" si="24"/>
        <v>67748</v>
      </c>
      <c r="D542" s="1"/>
      <c r="K542" t="s">
        <v>485</v>
      </c>
      <c r="L542">
        <v>1</v>
      </c>
    </row>
    <row r="543" spans="1:12">
      <c r="A543" s="1">
        <v>42894</v>
      </c>
      <c r="B543" s="5">
        <v>270992</v>
      </c>
      <c r="C543">
        <f>B543/4</f>
        <v>67748</v>
      </c>
      <c r="D543" s="1"/>
      <c r="K543" t="s">
        <v>499</v>
      </c>
      <c r="L543">
        <v>4</v>
      </c>
    </row>
    <row r="544" spans="1:12">
      <c r="A544" s="1" t="s">
        <v>486</v>
      </c>
      <c r="B544" s="5">
        <f>SUM(B533:B543)</f>
        <v>1033831</v>
      </c>
      <c r="C544">
        <f>67.9*SUM(L533:L543)*1000</f>
        <v>1018500.0000000001</v>
      </c>
      <c r="G544">
        <f>SUM(L533:L543)*1000*3.6312</f>
        <v>54468</v>
      </c>
      <c r="I544">
        <f>SUM(L533:L543)*1000*3.6312</f>
        <v>54468</v>
      </c>
      <c r="J544">
        <f>C544-B544</f>
        <v>-15330.999999999884</v>
      </c>
    </row>
    <row r="545" spans="1:12">
      <c r="A545" s="1">
        <v>42893</v>
      </c>
      <c r="B545" s="5">
        <v>202143</v>
      </c>
      <c r="C545">
        <f>B545/2</f>
        <v>101071.5</v>
      </c>
      <c r="K545" t="s">
        <v>497</v>
      </c>
      <c r="L545">
        <v>2</v>
      </c>
    </row>
    <row r="546" spans="1:12">
      <c r="A546" s="1">
        <v>42894</v>
      </c>
      <c r="B546" s="5">
        <v>201143</v>
      </c>
      <c r="C546">
        <f>B546/2</f>
        <v>100571.5</v>
      </c>
      <c r="K546" t="s">
        <v>439</v>
      </c>
      <c r="L546">
        <v>2</v>
      </c>
    </row>
    <row r="547" spans="1:12">
      <c r="A547" s="1">
        <v>42894</v>
      </c>
      <c r="B547" s="5">
        <v>101071</v>
      </c>
      <c r="C547">
        <f>B547/1</f>
        <v>101071</v>
      </c>
      <c r="K547" t="s">
        <v>445</v>
      </c>
      <c r="L547">
        <v>1</v>
      </c>
    </row>
    <row r="548" spans="1:12">
      <c r="A548" s="1">
        <v>42894</v>
      </c>
      <c r="B548" s="5">
        <v>100071</v>
      </c>
      <c r="C548">
        <f>B548/1</f>
        <v>100071</v>
      </c>
      <c r="K548" t="s">
        <v>445</v>
      </c>
      <c r="L548">
        <v>1</v>
      </c>
    </row>
    <row r="549" spans="1:12">
      <c r="A549" s="1">
        <v>42894</v>
      </c>
      <c r="B549" s="5">
        <v>101572</v>
      </c>
      <c r="C549">
        <f>B549/1</f>
        <v>101572</v>
      </c>
      <c r="K549" t="s">
        <v>445</v>
      </c>
      <c r="L549">
        <v>1</v>
      </c>
    </row>
    <row r="550" spans="1:12">
      <c r="A550" s="1">
        <v>42894</v>
      </c>
      <c r="B550" s="5">
        <v>100571</v>
      </c>
      <c r="C550">
        <f>B550/1</f>
        <v>100571</v>
      </c>
      <c r="K550" t="s">
        <v>445</v>
      </c>
      <c r="L550">
        <v>1</v>
      </c>
    </row>
    <row r="551" spans="1:12">
      <c r="A551" s="1">
        <v>42895</v>
      </c>
      <c r="B551" s="5">
        <v>99070</v>
      </c>
      <c r="C551">
        <f>B551/1</f>
        <v>99070</v>
      </c>
      <c r="K551" t="s">
        <v>445</v>
      </c>
      <c r="L551">
        <v>1</v>
      </c>
    </row>
    <row r="552" spans="1:12">
      <c r="A552" s="1">
        <v>42895</v>
      </c>
      <c r="B552" s="5">
        <v>97569</v>
      </c>
      <c r="C552">
        <f>B552/1</f>
        <v>97569</v>
      </c>
      <c r="K552" t="s">
        <v>445</v>
      </c>
      <c r="L552">
        <v>1</v>
      </c>
    </row>
    <row r="553" spans="1:12">
      <c r="A553" s="1">
        <v>42895</v>
      </c>
      <c r="B553" s="5">
        <v>98069</v>
      </c>
      <c r="C553">
        <f>B553/1</f>
        <v>98069</v>
      </c>
      <c r="K553" t="s">
        <v>445</v>
      </c>
      <c r="L553">
        <v>1</v>
      </c>
    </row>
    <row r="554" spans="1:12">
      <c r="A554" t="s">
        <v>498</v>
      </c>
      <c r="B554">
        <f>SUM(B545:B553)</f>
        <v>1101279</v>
      </c>
      <c r="C554">
        <f>99.4*SUM(L545:L553)*1000</f>
        <v>1093400</v>
      </c>
      <c r="G554">
        <f>SUM(L545:L553)*1000*4</f>
        <v>44000</v>
      </c>
      <c r="H554">
        <f>SUM(L545:L553)*1000*4.5</f>
        <v>49500</v>
      </c>
      <c r="I554">
        <f>SUM(L545:L553)*1000*4.5</f>
        <v>49500</v>
      </c>
      <c r="J554">
        <f>C554-B554</f>
        <v>-7879</v>
      </c>
    </row>
    <row r="557" spans="1:12">
      <c r="A557" s="1">
        <v>41177</v>
      </c>
      <c r="B557">
        <v>254.9</v>
      </c>
      <c r="D557" s="1">
        <v>41200</v>
      </c>
      <c r="E557">
        <v>259.39999999999998</v>
      </c>
      <c r="F557" t="s">
        <v>141</v>
      </c>
      <c r="H557">
        <v>22800</v>
      </c>
      <c r="K557" s="5" t="s">
        <v>142</v>
      </c>
    </row>
    <row r="558" spans="1:12">
      <c r="A558" s="1">
        <v>41222</v>
      </c>
      <c r="B558">
        <v>250</v>
      </c>
      <c r="D558" s="1">
        <v>41227</v>
      </c>
      <c r="E558">
        <v>244.9</v>
      </c>
      <c r="F558" t="s">
        <v>133</v>
      </c>
      <c r="H558">
        <v>23900</v>
      </c>
      <c r="K558" s="5" t="s">
        <v>143</v>
      </c>
    </row>
    <row r="559" spans="1:12">
      <c r="A559" s="1">
        <v>41241</v>
      </c>
      <c r="B559">
        <v>257.2</v>
      </c>
      <c r="D559" s="1">
        <v>41247</v>
      </c>
      <c r="E559">
        <v>263</v>
      </c>
      <c r="F559" t="s">
        <v>141</v>
      </c>
      <c r="H559">
        <v>27400</v>
      </c>
      <c r="J559">
        <v>25935</v>
      </c>
      <c r="K559" s="5" t="s">
        <v>153</v>
      </c>
    </row>
    <row r="560" spans="1:12">
      <c r="A560" s="1">
        <v>41306</v>
      </c>
      <c r="B560">
        <v>315.89999999999998</v>
      </c>
      <c r="D560" s="1">
        <v>41309</v>
      </c>
      <c r="E560">
        <v>335</v>
      </c>
      <c r="F560" t="s">
        <v>7</v>
      </c>
      <c r="H560">
        <v>93700</v>
      </c>
    </row>
    <row r="561" spans="1:8">
      <c r="A561" s="1">
        <v>41311</v>
      </c>
      <c r="B561">
        <v>336.6</v>
      </c>
      <c r="D561" s="1">
        <v>41316</v>
      </c>
      <c r="E561">
        <v>325.2</v>
      </c>
      <c r="F561" t="s">
        <v>7</v>
      </c>
      <c r="H561">
        <v>-58800</v>
      </c>
    </row>
    <row r="562" spans="1:8">
      <c r="A562" s="1">
        <v>41313</v>
      </c>
      <c r="B562">
        <v>80500</v>
      </c>
      <c r="D562" s="1">
        <v>41313</v>
      </c>
      <c r="E562">
        <v>80390</v>
      </c>
      <c r="F562" t="s">
        <v>150</v>
      </c>
      <c r="H562">
        <v>3700</v>
      </c>
    </row>
    <row r="563" spans="1:8">
      <c r="A563" s="1">
        <v>41318</v>
      </c>
      <c r="B563">
        <v>81260</v>
      </c>
      <c r="D563" s="1">
        <v>41318</v>
      </c>
      <c r="E563">
        <v>81160</v>
      </c>
      <c r="F563" t="s">
        <v>7</v>
      </c>
      <c r="H563">
        <v>-6800</v>
      </c>
    </row>
    <row r="564" spans="1:8">
      <c r="A564" s="1">
        <v>41332</v>
      </c>
      <c r="B564">
        <v>78490</v>
      </c>
      <c r="D564" s="1">
        <v>41332</v>
      </c>
      <c r="E564">
        <v>78810</v>
      </c>
      <c r="F564" t="s">
        <v>150</v>
      </c>
      <c r="H564">
        <v>-17800</v>
      </c>
    </row>
    <row r="565" spans="1:8">
      <c r="A565" s="1">
        <v>41346</v>
      </c>
      <c r="B565">
        <v>78840</v>
      </c>
      <c r="D565" s="1">
        <v>41346</v>
      </c>
      <c r="E565">
        <v>78940</v>
      </c>
      <c r="F565" t="s">
        <v>7</v>
      </c>
      <c r="H565">
        <v>3200</v>
      </c>
    </row>
    <row r="566" spans="1:8">
      <c r="A566" s="1">
        <v>41347</v>
      </c>
      <c r="B566">
        <v>77310</v>
      </c>
      <c r="D566" s="1">
        <v>41347</v>
      </c>
      <c r="E566">
        <v>77500</v>
      </c>
      <c r="F566" t="s">
        <v>150</v>
      </c>
      <c r="H566">
        <v>-11300</v>
      </c>
    </row>
    <row r="567" spans="1:8">
      <c r="A567" s="1">
        <v>41403</v>
      </c>
      <c r="B567">
        <v>275</v>
      </c>
      <c r="D567" s="1">
        <v>41407</v>
      </c>
      <c r="E567">
        <v>295.8</v>
      </c>
      <c r="F567" t="s">
        <v>7</v>
      </c>
      <c r="H567">
        <v>102200</v>
      </c>
    </row>
    <row r="568" spans="1:8">
      <c r="A568" s="1">
        <v>41411</v>
      </c>
      <c r="B568">
        <v>278</v>
      </c>
      <c r="D568" s="1">
        <v>41411</v>
      </c>
      <c r="E568">
        <v>280</v>
      </c>
      <c r="F568" t="s">
        <v>7</v>
      </c>
      <c r="H568">
        <v>8200</v>
      </c>
    </row>
    <row r="569" spans="1:8">
      <c r="A569" s="1">
        <v>41417</v>
      </c>
      <c r="B569">
        <v>16000</v>
      </c>
      <c r="D569" s="1">
        <v>41417</v>
      </c>
      <c r="E569">
        <v>15700</v>
      </c>
      <c r="F569" t="s">
        <v>7</v>
      </c>
      <c r="H569">
        <v>-31000</v>
      </c>
    </row>
    <row r="570" spans="1:8">
      <c r="A570" s="1">
        <v>41417</v>
      </c>
      <c r="B570">
        <v>15970</v>
      </c>
      <c r="D570" s="1">
        <v>41417</v>
      </c>
      <c r="E570">
        <v>15675</v>
      </c>
      <c r="F570" t="s">
        <v>7</v>
      </c>
      <c r="H570">
        <v>-30500</v>
      </c>
    </row>
    <row r="571" spans="1:8">
      <c r="A571" s="1">
        <v>41446</v>
      </c>
      <c r="B571">
        <v>71660</v>
      </c>
      <c r="D571" s="1">
        <v>41449</v>
      </c>
      <c r="E571">
        <v>71050</v>
      </c>
      <c r="F571" t="s">
        <v>70</v>
      </c>
      <c r="H571">
        <v>28700</v>
      </c>
    </row>
    <row r="572" spans="1:8">
      <c r="A572" s="1">
        <v>41473</v>
      </c>
      <c r="B572">
        <v>243</v>
      </c>
      <c r="D572" s="1">
        <v>41474</v>
      </c>
      <c r="E572">
        <v>253.1</v>
      </c>
      <c r="F572" t="s">
        <v>7</v>
      </c>
      <c r="H572">
        <v>48700</v>
      </c>
    </row>
    <row r="573" spans="1:8">
      <c r="A573" s="1">
        <v>41485</v>
      </c>
      <c r="B573">
        <v>74000</v>
      </c>
      <c r="D573" s="1">
        <v>41486</v>
      </c>
      <c r="E573">
        <v>73650</v>
      </c>
      <c r="F573" t="s">
        <v>7</v>
      </c>
      <c r="H573">
        <v>-19300</v>
      </c>
    </row>
    <row r="574" spans="1:8">
      <c r="A574" s="1">
        <v>41486</v>
      </c>
      <c r="B574">
        <v>73900</v>
      </c>
      <c r="D574" s="1">
        <v>41486</v>
      </c>
      <c r="E574">
        <v>73750</v>
      </c>
      <c r="F574" t="s">
        <v>70</v>
      </c>
      <c r="H574">
        <v>5700</v>
      </c>
    </row>
    <row r="575" spans="1:8">
      <c r="A575" s="1">
        <v>41486</v>
      </c>
      <c r="B575">
        <v>240.5</v>
      </c>
      <c r="D575" s="1">
        <v>41486</v>
      </c>
      <c r="E575">
        <v>243.5</v>
      </c>
      <c r="F575" t="s">
        <v>179</v>
      </c>
      <c r="H575">
        <v>-16800</v>
      </c>
    </row>
    <row r="576" spans="1:8">
      <c r="A576" s="1">
        <v>41487</v>
      </c>
      <c r="B576">
        <v>242.8</v>
      </c>
      <c r="D576" s="1">
        <v>41488</v>
      </c>
      <c r="E576">
        <v>249</v>
      </c>
      <c r="F576" t="s">
        <v>179</v>
      </c>
      <c r="H576">
        <v>-32800</v>
      </c>
    </row>
    <row r="577" spans="1:11">
      <c r="A577" s="1">
        <v>41488</v>
      </c>
      <c r="B577">
        <v>75340</v>
      </c>
      <c r="D577" s="1">
        <v>41488</v>
      </c>
      <c r="E577">
        <v>74860</v>
      </c>
      <c r="F577" t="s">
        <v>174</v>
      </c>
      <c r="H577">
        <v>22200</v>
      </c>
    </row>
    <row r="578" spans="1:11">
      <c r="A578" s="1">
        <v>41502</v>
      </c>
      <c r="B578">
        <v>263</v>
      </c>
      <c r="D578" s="1">
        <v>41502</v>
      </c>
      <c r="E578">
        <v>268</v>
      </c>
      <c r="F578" t="s">
        <v>179</v>
      </c>
      <c r="H578">
        <v>-26800</v>
      </c>
    </row>
    <row r="579" spans="1:11">
      <c r="A579" s="1">
        <v>41507</v>
      </c>
      <c r="B579">
        <v>73900</v>
      </c>
      <c r="D579" s="1">
        <v>41507</v>
      </c>
      <c r="E579">
        <v>74040</v>
      </c>
      <c r="F579" t="s">
        <v>174</v>
      </c>
      <c r="H579">
        <v>5200</v>
      </c>
    </row>
    <row r="580" spans="1:11">
      <c r="A580" s="1">
        <v>41516</v>
      </c>
      <c r="B580">
        <v>270</v>
      </c>
      <c r="D580" s="1">
        <v>41519</v>
      </c>
      <c r="E580">
        <v>273</v>
      </c>
      <c r="F580" t="s">
        <v>174</v>
      </c>
      <c r="H580">
        <v>13200</v>
      </c>
    </row>
    <row r="581" spans="1:11">
      <c r="A581" s="1">
        <v>41528</v>
      </c>
      <c r="B581">
        <v>76980</v>
      </c>
      <c r="D581" s="1">
        <v>41528</v>
      </c>
      <c r="E581">
        <v>76790</v>
      </c>
      <c r="F581" t="s">
        <v>33</v>
      </c>
      <c r="H581">
        <v>-11300</v>
      </c>
    </row>
    <row r="582" spans="1:11">
      <c r="A582" s="1">
        <v>41528</v>
      </c>
      <c r="B582">
        <v>76960</v>
      </c>
      <c r="D582" s="1">
        <v>41528</v>
      </c>
      <c r="E582">
        <v>76990</v>
      </c>
      <c r="F582" t="s">
        <v>33</v>
      </c>
      <c r="H582">
        <v>-300</v>
      </c>
    </row>
    <row r="583" spans="1:11">
      <c r="A583" s="1">
        <v>41529</v>
      </c>
      <c r="B583">
        <v>76920</v>
      </c>
      <c r="D583" s="1">
        <v>41529</v>
      </c>
      <c r="E583">
        <v>76600</v>
      </c>
      <c r="F583" t="s">
        <v>33</v>
      </c>
      <c r="H583">
        <v>-17800</v>
      </c>
    </row>
    <row r="584" spans="1:11">
      <c r="A584" s="1">
        <v>41544</v>
      </c>
      <c r="B584">
        <v>270.2</v>
      </c>
      <c r="D584" s="1">
        <v>41547</v>
      </c>
      <c r="E584">
        <v>267.5</v>
      </c>
      <c r="F584" t="s">
        <v>180</v>
      </c>
      <c r="H584">
        <v>11900</v>
      </c>
    </row>
    <row r="585" spans="1:11">
      <c r="A585" s="6">
        <v>41556</v>
      </c>
      <c r="B585" s="7">
        <v>265</v>
      </c>
      <c r="C585" s="7"/>
      <c r="D585" s="6">
        <v>41557</v>
      </c>
      <c r="E585" s="7">
        <v>260</v>
      </c>
      <c r="F585" s="7" t="s">
        <v>182</v>
      </c>
      <c r="G585" s="7"/>
      <c r="H585" s="7">
        <v>23400</v>
      </c>
    </row>
    <row r="586" spans="1:11">
      <c r="A586" s="6">
        <v>41564</v>
      </c>
      <c r="B586">
        <v>266</v>
      </c>
      <c r="D586" s="6">
        <v>41564</v>
      </c>
      <c r="E586">
        <v>270</v>
      </c>
      <c r="F586" t="s">
        <v>184</v>
      </c>
      <c r="H586">
        <v>-21600</v>
      </c>
    </row>
    <row r="587" spans="1:11">
      <c r="A587" s="6">
        <v>41634</v>
      </c>
      <c r="B587">
        <v>275</v>
      </c>
      <c r="D587" s="6">
        <v>41635</v>
      </c>
      <c r="E587">
        <v>276</v>
      </c>
      <c r="F587" t="s">
        <v>185</v>
      </c>
      <c r="H587">
        <v>3400</v>
      </c>
    </row>
    <row r="588" spans="1:11">
      <c r="A588" t="s">
        <v>186</v>
      </c>
      <c r="J588">
        <v>19035</v>
      </c>
      <c r="K588" s="5" t="s">
        <v>187</v>
      </c>
    </row>
    <row r="589" spans="1:11">
      <c r="A589" s="1">
        <v>41687</v>
      </c>
      <c r="B589">
        <v>80800</v>
      </c>
      <c r="D589" s="1">
        <v>41687</v>
      </c>
      <c r="E589">
        <v>81100</v>
      </c>
      <c r="F589" t="s">
        <v>7</v>
      </c>
      <c r="H589">
        <v>8900</v>
      </c>
    </row>
    <row r="590" spans="1:11">
      <c r="A590" s="1">
        <v>41691</v>
      </c>
      <c r="B590">
        <v>227</v>
      </c>
      <c r="D590" s="1">
        <v>41694</v>
      </c>
      <c r="E590">
        <v>221.1</v>
      </c>
      <c r="F590" t="s">
        <v>203</v>
      </c>
      <c r="H590">
        <v>-31100</v>
      </c>
    </row>
    <row r="591" spans="1:11">
      <c r="A591" t="s">
        <v>230</v>
      </c>
      <c r="J591">
        <v>-5328</v>
      </c>
      <c r="K591" s="5" t="s">
        <v>231</v>
      </c>
    </row>
    <row r="593" spans="1:1">
      <c r="A593" t="s">
        <v>240</v>
      </c>
    </row>
  </sheetData>
  <autoFilter ref="A1:K532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J277" formula="1"/>
    <ignoredError sqref="B2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topLeftCell="A7" zoomScale="85" zoomScaleNormal="85" workbookViewId="0">
      <selection activeCell="L22" sqref="L22"/>
    </sheetView>
  </sheetViews>
  <sheetFormatPr defaultRowHeight="16.5"/>
  <cols>
    <col min="1" max="1" width="7" customWidth="1"/>
    <col min="2" max="3" width="9.125" customWidth="1"/>
    <col min="6" max="6" width="12.625" customWidth="1"/>
    <col min="7" max="7" width="13" customWidth="1"/>
    <col min="8" max="8" width="12.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243</v>
      </c>
      <c r="B1" s="2" t="s">
        <v>244</v>
      </c>
      <c r="C1" s="2" t="s">
        <v>386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424</v>
      </c>
      <c r="I1" s="2" t="s">
        <v>333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  <c r="Q1" s="2" t="s">
        <v>301</v>
      </c>
      <c r="R1" s="2" t="s">
        <v>302</v>
      </c>
    </row>
    <row r="2" spans="1:18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9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246</v>
      </c>
      <c r="B3">
        <v>20086</v>
      </c>
      <c r="D3">
        <f t="shared" ref="D3:D8" si="2">D2+B3</f>
        <v>50069</v>
      </c>
      <c r="E3">
        <f t="shared" ref="E3:E6" si="3">E2+G2+M2</f>
        <v>20000</v>
      </c>
      <c r="F3">
        <f t="shared" ref="F3:F6" si="4">F2+B2+G2+H2-L2</f>
        <v>43983</v>
      </c>
      <c r="G3">
        <v>40000</v>
      </c>
      <c r="I3">
        <v>0</v>
      </c>
      <c r="J3">
        <f t="shared" si="0"/>
        <v>0</v>
      </c>
      <c r="K3">
        <f t="shared" ref="K3:K9" si="5">K2+B3-L3-M3</f>
        <v>44069</v>
      </c>
      <c r="L3">
        <v>0</v>
      </c>
      <c r="M3">
        <v>0</v>
      </c>
      <c r="N3">
        <f t="shared" ref="N3:N9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>F6+B6+G6+H6-L6</f>
        <v>2205678</v>
      </c>
      <c r="G7">
        <v>1404500</v>
      </c>
      <c r="H7">
        <v>189000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384</v>
      </c>
      <c r="B8">
        <v>395756</v>
      </c>
      <c r="C8">
        <v>540982</v>
      </c>
      <c r="D8">
        <f t="shared" si="2"/>
        <v>2685754</v>
      </c>
      <c r="E8">
        <f>E7+G7+M7</f>
        <v>3704300</v>
      </c>
      <c r="F8">
        <f>F7+B7+G7+H7-H6-L7</f>
        <v>5531342</v>
      </c>
      <c r="G8">
        <v>1327470</v>
      </c>
      <c r="H8">
        <v>226282</v>
      </c>
      <c r="I8">
        <v>3974696</v>
      </c>
      <c r="J8">
        <f t="shared" si="0"/>
        <v>41.812330226325628</v>
      </c>
      <c r="K8">
        <f>K7+B8-L8-M8</f>
        <v>1663368</v>
      </c>
      <c r="L8">
        <v>370430</v>
      </c>
      <c r="M8">
        <v>0</v>
      </c>
      <c r="N8">
        <f t="shared" si="6"/>
        <v>7.154791730469749</v>
      </c>
      <c r="O8">
        <f>(B8/(F8+I8))*100</f>
        <v>4.1632065851198998</v>
      </c>
      <c r="P8">
        <f t="shared" si="7"/>
        <v>1.0683691925599978</v>
      </c>
      <c r="Q8">
        <f>(F8/E8)*10</f>
        <v>14.932219312690657</v>
      </c>
      <c r="R8">
        <f>((F8+B8-L8)/(E8))*10</f>
        <v>15.000588505250654</v>
      </c>
    </row>
    <row r="9" spans="1:18">
      <c r="A9" s="11" t="s">
        <v>422</v>
      </c>
      <c r="B9">
        <v>1891478</v>
      </c>
      <c r="C9">
        <v>0</v>
      </c>
      <c r="D9">
        <f>D8+B9</f>
        <v>4577232</v>
      </c>
      <c r="E9">
        <f>E8+G8+M8</f>
        <v>5031770</v>
      </c>
      <c r="F9">
        <f>F8+B8+G8+H8-H7-L8</f>
        <v>6921420</v>
      </c>
      <c r="H9">
        <v>226282</v>
      </c>
      <c r="I9">
        <v>3214176</v>
      </c>
      <c r="J9">
        <f>I9/(F9+I9)*100</f>
        <v>31.711761202794587</v>
      </c>
      <c r="K9">
        <f t="shared" si="5"/>
        <v>3554846</v>
      </c>
      <c r="L9">
        <v>0</v>
      </c>
      <c r="M9">
        <v>0</v>
      </c>
      <c r="N9">
        <f t="shared" si="6"/>
        <v>27.327889363743278</v>
      </c>
      <c r="O9">
        <f t="shared" si="1"/>
        <v>18.661734346949107</v>
      </c>
      <c r="P9">
        <f>(B9/E9)*10</f>
        <v>3.7590708637318477</v>
      </c>
      <c r="Q9">
        <f>(F9/E9)*10</f>
        <v>13.755437947282964</v>
      </c>
      <c r="R9" s="12">
        <f>((F9+B9-L9+K14-K17)/(E9))*10</f>
        <v>17.017665751812981</v>
      </c>
    </row>
    <row r="10" spans="1:18">
      <c r="A10" s="11"/>
      <c r="R10" s="12"/>
    </row>
    <row r="11" spans="1:18">
      <c r="A11" s="11"/>
      <c r="R11" s="12"/>
    </row>
    <row r="13" spans="1:18">
      <c r="K13" s="2" t="s">
        <v>303</v>
      </c>
      <c r="M13" s="2" t="s">
        <v>387</v>
      </c>
      <c r="P13" s="2" t="s">
        <v>309</v>
      </c>
      <c r="Q13" s="2"/>
      <c r="R13" s="2"/>
    </row>
    <row r="14" spans="1:18">
      <c r="K14">
        <v>-250000</v>
      </c>
      <c r="P14" s="2" t="s">
        <v>310</v>
      </c>
      <c r="Q14" s="2" t="s">
        <v>317</v>
      </c>
      <c r="R14" s="2" t="s">
        <v>318</v>
      </c>
    </row>
    <row r="15" spans="1:18">
      <c r="K15" t="s">
        <v>434</v>
      </c>
      <c r="P15">
        <v>2010</v>
      </c>
      <c r="Q15">
        <f t="shared" ref="Q15:Q20" si="10">L2/(E2/10)</f>
        <v>3</v>
      </c>
      <c r="R15">
        <f t="shared" ref="R15:R21" si="11">M2/(E2/10)</f>
        <v>0</v>
      </c>
    </row>
    <row r="16" spans="1:18">
      <c r="K16" s="2" t="s">
        <v>332</v>
      </c>
      <c r="M16" s="2" t="s">
        <v>337</v>
      </c>
      <c r="N16" s="2" t="s">
        <v>338</v>
      </c>
      <c r="P16">
        <v>2011</v>
      </c>
      <c r="Q16">
        <f t="shared" si="10"/>
        <v>0</v>
      </c>
      <c r="R16">
        <f t="shared" si="11"/>
        <v>0</v>
      </c>
    </row>
    <row r="17" spans="11:18">
      <c r="P17">
        <v>2012</v>
      </c>
      <c r="Q17">
        <f t="shared" si="10"/>
        <v>0</v>
      </c>
      <c r="R17">
        <f t="shared" si="11"/>
        <v>0</v>
      </c>
    </row>
    <row r="18" spans="11:18">
      <c r="P18">
        <v>2013</v>
      </c>
      <c r="Q18">
        <f t="shared" si="10"/>
        <v>0</v>
      </c>
      <c r="R18">
        <f t="shared" si="11"/>
        <v>0</v>
      </c>
    </row>
    <row r="19" spans="11:18">
      <c r="K19" s="2" t="s">
        <v>336</v>
      </c>
      <c r="M19" s="2" t="s">
        <v>339</v>
      </c>
      <c r="P19">
        <v>2014</v>
      </c>
      <c r="Q19">
        <f t="shared" si="10"/>
        <v>0</v>
      </c>
      <c r="R19">
        <f t="shared" si="11"/>
        <v>2</v>
      </c>
    </row>
    <row r="20" spans="11:18">
      <c r="K20">
        <v>1043872</v>
      </c>
      <c r="P20">
        <v>2015</v>
      </c>
      <c r="Q20">
        <f t="shared" si="10"/>
        <v>0.64</v>
      </c>
      <c r="R20">
        <f t="shared" si="11"/>
        <v>2</v>
      </c>
    </row>
    <row r="21" spans="11:18">
      <c r="P21">
        <v>2016</v>
      </c>
      <c r="Q21">
        <v>1</v>
      </c>
      <c r="R21">
        <f t="shared" si="11"/>
        <v>0</v>
      </c>
    </row>
    <row r="22" spans="11:18">
      <c r="K22" s="2" t="s">
        <v>334</v>
      </c>
      <c r="M22" s="2" t="s">
        <v>340</v>
      </c>
    </row>
    <row r="25" spans="11:18">
      <c r="K25" s="2" t="s">
        <v>335</v>
      </c>
      <c r="M25" s="2" t="s">
        <v>381</v>
      </c>
    </row>
    <row r="26" spans="11:18">
      <c r="K26">
        <f>K23/(F8+B8+K14-K17+K23+K20)*100</f>
        <v>0</v>
      </c>
      <c r="M26">
        <f>K29/(F9+B9+K14+M14-K17+K23+K29)*100</f>
        <v>0</v>
      </c>
    </row>
    <row r="28" spans="11:18">
      <c r="K28" s="2" t="s">
        <v>380</v>
      </c>
      <c r="M28" s="2" t="s">
        <v>383</v>
      </c>
    </row>
    <row r="29" spans="11:18">
      <c r="M29">
        <f>(K29+K32)/(F8+B8+K14+M14-K17+K23+K29+K32)*100</f>
        <v>0</v>
      </c>
    </row>
    <row r="31" spans="11:18">
      <c r="K31" s="2" t="s">
        <v>382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3"/>
  <sheetViews>
    <sheetView topLeftCell="A31" zoomScale="85" zoomScaleNormal="85" workbookViewId="0">
      <selection activeCell="E33" sqref="E33:E34"/>
    </sheetView>
  </sheetViews>
  <sheetFormatPr defaultRowHeight="16.5"/>
  <cols>
    <col min="1" max="1" width="11.625" customWidth="1"/>
    <col min="2" max="5" width="15.375" customWidth="1"/>
    <col min="6" max="6" width="17.625" customWidth="1"/>
    <col min="7" max="8" width="15" customWidth="1"/>
    <col min="10" max="10" width="51.875" customWidth="1"/>
  </cols>
  <sheetData>
    <row r="1" spans="1:10">
      <c r="A1" t="s">
        <v>9</v>
      </c>
      <c r="B1" t="s">
        <v>289</v>
      </c>
      <c r="C1" t="s">
        <v>423</v>
      </c>
      <c r="D1" t="s">
        <v>316</v>
      </c>
      <c r="E1" t="s">
        <v>294</v>
      </c>
      <c r="F1" t="s">
        <v>293</v>
      </c>
      <c r="G1" t="s">
        <v>290</v>
      </c>
      <c r="H1" t="s">
        <v>297</v>
      </c>
      <c r="I1" t="s">
        <v>296</v>
      </c>
    </row>
    <row r="2" spans="1:10">
      <c r="A2" s="1">
        <v>40179</v>
      </c>
      <c r="B2" t="s">
        <v>291</v>
      </c>
      <c r="C2">
        <v>2010</v>
      </c>
      <c r="E2">
        <v>10000</v>
      </c>
      <c r="F2">
        <v>10</v>
      </c>
      <c r="G2">
        <f>E2/F2</f>
        <v>1000</v>
      </c>
      <c r="H2">
        <f>10*G2</f>
        <v>10000</v>
      </c>
    </row>
    <row r="3" spans="1:10">
      <c r="A3" s="1">
        <v>40179</v>
      </c>
      <c r="B3" t="s">
        <v>292</v>
      </c>
      <c r="C3">
        <v>2010</v>
      </c>
      <c r="E3">
        <v>10000</v>
      </c>
      <c r="F3">
        <v>10</v>
      </c>
      <c r="G3">
        <f t="shared" ref="G3:G12" si="0">E3/F3</f>
        <v>1000</v>
      </c>
      <c r="H3">
        <f t="shared" ref="H3:H17" si="1">10*G3</f>
        <v>10000</v>
      </c>
    </row>
    <row r="4" spans="1:10">
      <c r="A4" s="1">
        <v>40909</v>
      </c>
      <c r="B4" t="s">
        <v>291</v>
      </c>
      <c r="C4">
        <v>2012</v>
      </c>
      <c r="E4">
        <v>20000</v>
      </c>
      <c r="F4">
        <v>10</v>
      </c>
      <c r="G4">
        <f t="shared" si="0"/>
        <v>2000</v>
      </c>
      <c r="H4">
        <f t="shared" si="1"/>
        <v>20000</v>
      </c>
    </row>
    <row r="5" spans="1:10">
      <c r="A5" s="1">
        <v>40909</v>
      </c>
      <c r="B5" t="s">
        <v>292</v>
      </c>
      <c r="C5">
        <v>2012</v>
      </c>
      <c r="E5">
        <v>20000</v>
      </c>
      <c r="F5">
        <v>10</v>
      </c>
      <c r="G5">
        <f t="shared" si="0"/>
        <v>2000</v>
      </c>
      <c r="H5">
        <f t="shared" si="1"/>
        <v>20000</v>
      </c>
    </row>
    <row r="6" spans="1:10">
      <c r="A6" s="1">
        <v>41275</v>
      </c>
      <c r="B6" t="s">
        <v>291</v>
      </c>
      <c r="C6">
        <v>2013</v>
      </c>
      <c r="E6">
        <v>40000</v>
      </c>
      <c r="F6">
        <v>10</v>
      </c>
      <c r="G6">
        <f t="shared" si="0"/>
        <v>4000</v>
      </c>
      <c r="H6">
        <f t="shared" si="1"/>
        <v>40000</v>
      </c>
    </row>
    <row r="7" spans="1:10">
      <c r="A7" s="1">
        <v>41275</v>
      </c>
      <c r="B7" t="s">
        <v>292</v>
      </c>
      <c r="C7">
        <v>2013</v>
      </c>
      <c r="E7">
        <v>40000</v>
      </c>
      <c r="F7">
        <v>10</v>
      </c>
      <c r="G7">
        <f t="shared" si="0"/>
        <v>4000</v>
      </c>
      <c r="H7">
        <f t="shared" si="1"/>
        <v>40000</v>
      </c>
    </row>
    <row r="8" spans="1:10">
      <c r="A8" s="1">
        <v>41640</v>
      </c>
      <c r="B8" t="s">
        <v>291</v>
      </c>
      <c r="C8">
        <v>2014</v>
      </c>
      <c r="E8">
        <v>280000</v>
      </c>
      <c r="F8">
        <v>10</v>
      </c>
      <c r="G8">
        <f t="shared" si="0"/>
        <v>28000</v>
      </c>
      <c r="H8">
        <f t="shared" si="1"/>
        <v>280000</v>
      </c>
    </row>
    <row r="9" spans="1:10">
      <c r="A9" s="1">
        <v>41640</v>
      </c>
      <c r="B9" t="s">
        <v>292</v>
      </c>
      <c r="C9">
        <v>2014</v>
      </c>
      <c r="E9">
        <v>280000</v>
      </c>
      <c r="F9">
        <v>10</v>
      </c>
      <c r="G9">
        <f t="shared" si="0"/>
        <v>28000</v>
      </c>
      <c r="H9">
        <f t="shared" si="1"/>
        <v>280000</v>
      </c>
    </row>
    <row r="10" spans="1:10">
      <c r="A10" s="1">
        <v>42005</v>
      </c>
      <c r="B10" t="s">
        <v>291</v>
      </c>
      <c r="C10">
        <v>2015</v>
      </c>
      <c r="E10">
        <v>370000</v>
      </c>
      <c r="F10">
        <v>10</v>
      </c>
      <c r="G10">
        <f t="shared" si="0"/>
        <v>37000</v>
      </c>
      <c r="H10">
        <f t="shared" si="1"/>
        <v>370000</v>
      </c>
    </row>
    <row r="11" spans="1:10">
      <c r="A11" s="1">
        <v>42005</v>
      </c>
      <c r="B11" t="s">
        <v>292</v>
      </c>
      <c r="C11">
        <v>2015</v>
      </c>
      <c r="E11">
        <v>370000</v>
      </c>
      <c r="F11">
        <v>10</v>
      </c>
      <c r="G11">
        <f t="shared" si="0"/>
        <v>37000</v>
      </c>
      <c r="H11">
        <f t="shared" si="1"/>
        <v>370000</v>
      </c>
    </row>
    <row r="12" spans="1:10">
      <c r="A12" s="1">
        <v>42005</v>
      </c>
      <c r="B12" t="s">
        <v>295</v>
      </c>
      <c r="C12">
        <v>2015</v>
      </c>
      <c r="E12">
        <v>50000</v>
      </c>
      <c r="F12">
        <v>16</v>
      </c>
      <c r="G12">
        <f t="shared" si="0"/>
        <v>3125</v>
      </c>
      <c r="H12">
        <f t="shared" si="1"/>
        <v>31250</v>
      </c>
      <c r="I12">
        <f>(F12-10)*G12</f>
        <v>18750</v>
      </c>
    </row>
    <row r="13" spans="1:10">
      <c r="A13" s="1">
        <v>42222</v>
      </c>
      <c r="B13" t="s">
        <v>295</v>
      </c>
      <c r="C13">
        <v>2015</v>
      </c>
      <c r="E13">
        <v>50000</v>
      </c>
      <c r="F13">
        <v>16</v>
      </c>
      <c r="G13">
        <f t="shared" ref="G13:G15" si="2">E13/F13</f>
        <v>3125</v>
      </c>
      <c r="H13">
        <f t="shared" ref="H13:H15" si="3">10*G13</f>
        <v>31250</v>
      </c>
      <c r="I13">
        <f>(F13-10)*G13</f>
        <v>18750</v>
      </c>
    </row>
    <row r="14" spans="1:10">
      <c r="A14" s="1">
        <v>42005</v>
      </c>
      <c r="B14" t="s">
        <v>291</v>
      </c>
      <c r="C14">
        <v>2015</v>
      </c>
      <c r="E14">
        <v>137000</v>
      </c>
      <c r="F14">
        <v>10</v>
      </c>
      <c r="G14">
        <f t="shared" si="2"/>
        <v>13700</v>
      </c>
      <c r="H14">
        <f t="shared" si="3"/>
        <v>137000</v>
      </c>
      <c r="J14" t="s">
        <v>375</v>
      </c>
    </row>
    <row r="15" spans="1:10">
      <c r="A15" s="1">
        <v>42005</v>
      </c>
      <c r="B15" t="s">
        <v>292</v>
      </c>
      <c r="C15">
        <v>2015</v>
      </c>
      <c r="E15">
        <v>137000</v>
      </c>
      <c r="F15">
        <v>10</v>
      </c>
      <c r="G15">
        <f t="shared" si="2"/>
        <v>13700</v>
      </c>
      <c r="H15">
        <f t="shared" si="3"/>
        <v>137000</v>
      </c>
      <c r="J15" t="s">
        <v>375</v>
      </c>
    </row>
    <row r="16" spans="1:10">
      <c r="A16" s="1">
        <v>42111</v>
      </c>
      <c r="B16" t="s">
        <v>291</v>
      </c>
      <c r="C16">
        <v>2015</v>
      </c>
      <c r="D16">
        <v>70000</v>
      </c>
      <c r="F16">
        <v>10</v>
      </c>
      <c r="G16">
        <f>D16/F16</f>
        <v>7000</v>
      </c>
      <c r="H16">
        <f t="shared" si="1"/>
        <v>70000</v>
      </c>
    </row>
    <row r="17" spans="1:10">
      <c r="A17" s="1">
        <v>42111</v>
      </c>
      <c r="B17" t="s">
        <v>292</v>
      </c>
      <c r="C17">
        <v>2015</v>
      </c>
      <c r="D17">
        <v>70000</v>
      </c>
      <c r="F17">
        <v>10</v>
      </c>
      <c r="G17">
        <f>D17/F17</f>
        <v>7000</v>
      </c>
      <c r="H17">
        <f t="shared" si="1"/>
        <v>70000</v>
      </c>
    </row>
    <row r="18" spans="1:10">
      <c r="A18" s="1">
        <v>42370</v>
      </c>
      <c r="B18" t="s">
        <v>291</v>
      </c>
      <c r="C18">
        <v>2016</v>
      </c>
      <c r="E18">
        <v>360000</v>
      </c>
      <c r="F18">
        <v>10</v>
      </c>
      <c r="G18">
        <f t="shared" ref="G18:G19" si="4">E18/F18</f>
        <v>36000</v>
      </c>
      <c r="H18">
        <f t="shared" ref="H18:H29" si="5">10*G18</f>
        <v>360000</v>
      </c>
    </row>
    <row r="19" spans="1:10">
      <c r="A19" s="1">
        <v>42370</v>
      </c>
      <c r="B19" t="s">
        <v>292</v>
      </c>
      <c r="C19">
        <v>2016</v>
      </c>
      <c r="E19">
        <v>360000</v>
      </c>
      <c r="F19">
        <v>10</v>
      </c>
      <c r="G19">
        <f t="shared" si="4"/>
        <v>36000</v>
      </c>
      <c r="H19">
        <f t="shared" si="5"/>
        <v>360000</v>
      </c>
    </row>
    <row r="20" spans="1:10">
      <c r="A20" s="1">
        <v>42417</v>
      </c>
      <c r="B20" t="s">
        <v>295</v>
      </c>
      <c r="C20">
        <v>2016</v>
      </c>
      <c r="E20">
        <v>50000</v>
      </c>
      <c r="F20">
        <v>16</v>
      </c>
      <c r="G20">
        <f>E20/F20</f>
        <v>3125</v>
      </c>
      <c r="H20">
        <f>10*G20</f>
        <v>31250</v>
      </c>
      <c r="I20">
        <f t="shared" ref="I20:I38" si="6">(F20-10)*G20</f>
        <v>18750</v>
      </c>
    </row>
    <row r="21" spans="1:10">
      <c r="A21" s="1">
        <v>42417</v>
      </c>
      <c r="B21" t="s">
        <v>390</v>
      </c>
      <c r="C21">
        <v>2016</v>
      </c>
      <c r="E21">
        <v>50000</v>
      </c>
      <c r="F21">
        <v>16</v>
      </c>
      <c r="G21">
        <f t="shared" ref="G21" si="7">E21/F21</f>
        <v>3125</v>
      </c>
      <c r="H21">
        <f t="shared" ref="H21" si="8">10*G21</f>
        <v>31250</v>
      </c>
      <c r="I21">
        <f t="shared" si="6"/>
        <v>18750</v>
      </c>
    </row>
    <row r="22" spans="1:10">
      <c r="A22" s="1">
        <v>42419</v>
      </c>
      <c r="B22" t="s">
        <v>390</v>
      </c>
      <c r="C22">
        <v>2016</v>
      </c>
      <c r="E22">
        <v>50000</v>
      </c>
      <c r="F22">
        <v>16</v>
      </c>
      <c r="G22">
        <f t="shared" ref="G22:G23" si="9">E22/F22</f>
        <v>3125</v>
      </c>
      <c r="H22">
        <f t="shared" ref="H22:H23" si="10">10*G22</f>
        <v>31250</v>
      </c>
      <c r="I22">
        <f t="shared" si="6"/>
        <v>18750</v>
      </c>
    </row>
    <row r="23" spans="1:10">
      <c r="A23" s="1">
        <v>42443</v>
      </c>
      <c r="B23" t="s">
        <v>390</v>
      </c>
      <c r="C23">
        <v>2016</v>
      </c>
      <c r="E23">
        <v>50000</v>
      </c>
      <c r="F23">
        <v>16</v>
      </c>
      <c r="G23">
        <f t="shared" si="9"/>
        <v>3125</v>
      </c>
      <c r="H23">
        <f t="shared" si="10"/>
        <v>31250</v>
      </c>
      <c r="I23">
        <f t="shared" si="6"/>
        <v>18750</v>
      </c>
    </row>
    <row r="24" spans="1:10" ht="61.5" customHeight="1">
      <c r="A24" s="1">
        <v>42443</v>
      </c>
      <c r="B24" t="s">
        <v>390</v>
      </c>
      <c r="C24">
        <v>2016</v>
      </c>
      <c r="E24">
        <v>50000</v>
      </c>
      <c r="F24">
        <v>16</v>
      </c>
      <c r="G24">
        <v>3125</v>
      </c>
      <c r="H24">
        <f>10*(E24/F24)</f>
        <v>31250</v>
      </c>
      <c r="I24">
        <f>(F24-10)*(E24/F24)</f>
        <v>18750</v>
      </c>
      <c r="J24" s="14"/>
    </row>
    <row r="25" spans="1:10">
      <c r="A25" s="1">
        <v>42622</v>
      </c>
      <c r="B25" t="s">
        <v>415</v>
      </c>
      <c r="C25">
        <v>2016</v>
      </c>
      <c r="E25">
        <v>50000</v>
      </c>
      <c r="F25">
        <v>16</v>
      </c>
      <c r="G25">
        <v>3125</v>
      </c>
      <c r="H25">
        <v>31250</v>
      </c>
      <c r="I25">
        <v>18750</v>
      </c>
      <c r="J25" t="s">
        <v>416</v>
      </c>
    </row>
    <row r="26" spans="1:10">
      <c r="A26" s="1">
        <v>42485</v>
      </c>
      <c r="B26" t="s">
        <v>295</v>
      </c>
      <c r="C26">
        <v>2016</v>
      </c>
      <c r="E26">
        <v>4000</v>
      </c>
      <c r="F26">
        <v>16</v>
      </c>
      <c r="G26">
        <f>E26/F26</f>
        <v>250</v>
      </c>
      <c r="H26">
        <f>10*G26</f>
        <v>2500</v>
      </c>
      <c r="I26">
        <f t="shared" si="6"/>
        <v>1500</v>
      </c>
    </row>
    <row r="27" spans="1:10">
      <c r="A27" s="1">
        <v>42485</v>
      </c>
      <c r="B27" t="s">
        <v>291</v>
      </c>
      <c r="C27">
        <v>2016</v>
      </c>
      <c r="D27">
        <v>185400</v>
      </c>
      <c r="F27">
        <v>10</v>
      </c>
      <c r="G27">
        <f>D27/F27</f>
        <v>18540</v>
      </c>
      <c r="H27">
        <f t="shared" si="5"/>
        <v>185400</v>
      </c>
      <c r="I27">
        <f t="shared" si="6"/>
        <v>0</v>
      </c>
    </row>
    <row r="28" spans="1:10">
      <c r="A28" s="1">
        <v>42485</v>
      </c>
      <c r="B28" t="s">
        <v>292</v>
      </c>
      <c r="C28">
        <v>2016</v>
      </c>
      <c r="D28">
        <v>185400</v>
      </c>
      <c r="F28">
        <v>10</v>
      </c>
      <c r="G28">
        <f>D28/F28</f>
        <v>18540</v>
      </c>
      <c r="H28">
        <f t="shared" si="5"/>
        <v>185400</v>
      </c>
      <c r="I28">
        <f t="shared" si="6"/>
        <v>0</v>
      </c>
    </row>
    <row r="29" spans="1:10">
      <c r="A29" s="1">
        <v>42485</v>
      </c>
      <c r="B29" t="s">
        <v>295</v>
      </c>
      <c r="C29">
        <v>2016</v>
      </c>
      <c r="D29">
        <v>12500</v>
      </c>
      <c r="F29">
        <v>10</v>
      </c>
      <c r="G29">
        <f>D29/F29</f>
        <v>1250</v>
      </c>
      <c r="H29">
        <f t="shared" si="5"/>
        <v>12500</v>
      </c>
      <c r="I29">
        <f t="shared" si="6"/>
        <v>0</v>
      </c>
    </row>
    <row r="30" spans="1:10">
      <c r="A30" s="1">
        <v>42643</v>
      </c>
      <c r="B30" t="s">
        <v>417</v>
      </c>
      <c r="C30">
        <v>2016</v>
      </c>
      <c r="E30">
        <v>100000</v>
      </c>
      <c r="F30">
        <v>16</v>
      </c>
      <c r="G30">
        <f>E30/F30</f>
        <v>6250</v>
      </c>
      <c r="H30">
        <f>10*(E30/F30)</f>
        <v>62500</v>
      </c>
      <c r="I30">
        <f t="shared" si="6"/>
        <v>37500</v>
      </c>
      <c r="J30" t="s">
        <v>420</v>
      </c>
    </row>
    <row r="31" spans="1:10">
      <c r="A31" s="1">
        <v>42370</v>
      </c>
      <c r="B31" t="s">
        <v>291</v>
      </c>
      <c r="C31">
        <v>2016</v>
      </c>
      <c r="E31">
        <v>216000</v>
      </c>
      <c r="F31">
        <v>10</v>
      </c>
      <c r="G31">
        <f t="shared" ref="G31:G34" si="11">E31/F31</f>
        <v>21600</v>
      </c>
      <c r="H31">
        <f t="shared" ref="H31:H41" si="12">10*G31</f>
        <v>216000</v>
      </c>
      <c r="I31">
        <f t="shared" si="6"/>
        <v>0</v>
      </c>
      <c r="J31" t="s">
        <v>421</v>
      </c>
    </row>
    <row r="32" spans="1:10">
      <c r="A32" s="1">
        <v>42370</v>
      </c>
      <c r="B32" t="s">
        <v>292</v>
      </c>
      <c r="C32">
        <v>2016</v>
      </c>
      <c r="E32">
        <v>216000</v>
      </c>
      <c r="F32">
        <v>10</v>
      </c>
      <c r="G32">
        <f t="shared" si="11"/>
        <v>21600</v>
      </c>
      <c r="H32">
        <f t="shared" si="12"/>
        <v>216000</v>
      </c>
      <c r="I32">
        <f t="shared" si="6"/>
        <v>0</v>
      </c>
      <c r="J32" t="s">
        <v>421</v>
      </c>
    </row>
    <row r="33" spans="1:10">
      <c r="A33" s="1">
        <v>42736</v>
      </c>
      <c r="B33" t="s">
        <v>291</v>
      </c>
      <c r="C33">
        <v>2017</v>
      </c>
      <c r="E33">
        <v>300000</v>
      </c>
      <c r="F33">
        <v>10</v>
      </c>
      <c r="G33">
        <f t="shared" si="11"/>
        <v>30000</v>
      </c>
      <c r="H33">
        <f t="shared" si="12"/>
        <v>300000</v>
      </c>
      <c r="I33">
        <f t="shared" si="6"/>
        <v>0</v>
      </c>
    </row>
    <row r="34" spans="1:10">
      <c r="A34" s="1">
        <v>42736</v>
      </c>
      <c r="B34" t="s">
        <v>292</v>
      </c>
      <c r="C34">
        <v>2017</v>
      </c>
      <c r="E34">
        <v>300000</v>
      </c>
      <c r="F34">
        <v>10</v>
      </c>
      <c r="G34">
        <f t="shared" si="11"/>
        <v>30000</v>
      </c>
      <c r="H34">
        <f t="shared" si="12"/>
        <v>300000</v>
      </c>
      <c r="I34">
        <f t="shared" si="6"/>
        <v>0</v>
      </c>
    </row>
    <row r="35" spans="1:10">
      <c r="A35" s="1">
        <v>42736</v>
      </c>
      <c r="B35" t="s">
        <v>390</v>
      </c>
      <c r="C35">
        <v>2017</v>
      </c>
      <c r="E35">
        <v>12500</v>
      </c>
      <c r="F35">
        <v>16</v>
      </c>
      <c r="G35">
        <f>ROUND(E35/F35,0)</f>
        <v>781</v>
      </c>
      <c r="H35">
        <f t="shared" si="12"/>
        <v>7810</v>
      </c>
      <c r="I35">
        <f t="shared" si="6"/>
        <v>4686</v>
      </c>
      <c r="J35" t="s">
        <v>428</v>
      </c>
    </row>
    <row r="36" spans="1:10">
      <c r="A36" s="1">
        <v>42736</v>
      </c>
      <c r="B36" t="s">
        <v>295</v>
      </c>
      <c r="C36">
        <v>2017</v>
      </c>
      <c r="E36">
        <v>10875</v>
      </c>
      <c r="F36">
        <v>16</v>
      </c>
      <c r="G36">
        <f>ROUND(E36/F36,0)</f>
        <v>680</v>
      </c>
      <c r="H36">
        <f t="shared" si="12"/>
        <v>6800</v>
      </c>
      <c r="I36">
        <f t="shared" si="6"/>
        <v>4080</v>
      </c>
      <c r="J36" t="s">
        <v>428</v>
      </c>
    </row>
    <row r="37" spans="1:10">
      <c r="A37" s="1">
        <v>42736</v>
      </c>
      <c r="B37" t="s">
        <v>415</v>
      </c>
      <c r="C37">
        <v>2017</v>
      </c>
      <c r="E37">
        <v>3125</v>
      </c>
      <c r="F37">
        <v>16</v>
      </c>
      <c r="G37">
        <f t="shared" ref="G37:G38" si="13">ROUND(E37/F37,0)</f>
        <v>195</v>
      </c>
      <c r="H37">
        <f t="shared" si="12"/>
        <v>1950</v>
      </c>
      <c r="I37">
        <f t="shared" si="6"/>
        <v>1170</v>
      </c>
      <c r="J37" t="s">
        <v>428</v>
      </c>
    </row>
    <row r="38" spans="1:10">
      <c r="A38" s="1">
        <v>42736</v>
      </c>
      <c r="B38" t="s">
        <v>417</v>
      </c>
      <c r="C38">
        <v>2017</v>
      </c>
      <c r="E38">
        <v>6250</v>
      </c>
      <c r="F38">
        <v>16</v>
      </c>
      <c r="G38">
        <f t="shared" si="13"/>
        <v>391</v>
      </c>
      <c r="H38">
        <f t="shared" si="12"/>
        <v>3910</v>
      </c>
      <c r="I38">
        <f t="shared" si="6"/>
        <v>2346</v>
      </c>
      <c r="J38" t="s">
        <v>428</v>
      </c>
    </row>
    <row r="39" spans="1:10">
      <c r="A39" s="1">
        <v>42736</v>
      </c>
      <c r="B39" t="s">
        <v>291</v>
      </c>
      <c r="C39">
        <v>2017</v>
      </c>
      <c r="E39">
        <v>125000</v>
      </c>
      <c r="F39">
        <v>10</v>
      </c>
      <c r="G39">
        <f t="shared" ref="G39:G40" si="14">E39/F39</f>
        <v>12500</v>
      </c>
      <c r="H39">
        <f t="shared" si="12"/>
        <v>125000</v>
      </c>
      <c r="J39" t="s">
        <v>428</v>
      </c>
    </row>
    <row r="40" spans="1:10">
      <c r="A40" s="1">
        <v>42736</v>
      </c>
      <c r="B40" t="s">
        <v>292</v>
      </c>
      <c r="C40">
        <v>2017</v>
      </c>
      <c r="E40">
        <v>125000</v>
      </c>
      <c r="F40">
        <v>10</v>
      </c>
      <c r="G40">
        <f t="shared" si="14"/>
        <v>12500</v>
      </c>
      <c r="H40">
        <f t="shared" si="12"/>
        <v>125000</v>
      </c>
      <c r="J40" t="s">
        <v>428</v>
      </c>
    </row>
    <row r="41" spans="1:10">
      <c r="A41" s="1">
        <v>42776</v>
      </c>
      <c r="B41" t="s">
        <v>295</v>
      </c>
      <c r="C41">
        <v>2017</v>
      </c>
      <c r="E41">
        <v>50000</v>
      </c>
      <c r="F41">
        <v>20</v>
      </c>
      <c r="G41">
        <f>ROUND(E41/F41,0)</f>
        <v>2500</v>
      </c>
      <c r="H41">
        <f t="shared" si="12"/>
        <v>25000</v>
      </c>
      <c r="I41">
        <f t="shared" ref="I41:I43" si="15">(F41-10)*G41</f>
        <v>25000</v>
      </c>
    </row>
    <row r="42" spans="1:10">
      <c r="A42" s="1">
        <v>42736</v>
      </c>
      <c r="B42" t="s">
        <v>291</v>
      </c>
      <c r="C42">
        <v>2017</v>
      </c>
      <c r="E42">
        <v>216000</v>
      </c>
      <c r="F42">
        <v>10</v>
      </c>
      <c r="G42">
        <f t="shared" ref="G42:G43" si="16">E42/F42</f>
        <v>21600</v>
      </c>
      <c r="H42">
        <f t="shared" ref="H42:H43" si="17">10*G42</f>
        <v>216000</v>
      </c>
      <c r="I42">
        <f t="shared" si="15"/>
        <v>0</v>
      </c>
      <c r="J42" t="s">
        <v>438</v>
      </c>
    </row>
    <row r="43" spans="1:10">
      <c r="A43" s="1">
        <v>42736</v>
      </c>
      <c r="B43" t="s">
        <v>292</v>
      </c>
      <c r="C43">
        <v>2017</v>
      </c>
      <c r="E43">
        <v>216000</v>
      </c>
      <c r="F43">
        <v>10</v>
      </c>
      <c r="G43">
        <f t="shared" si="16"/>
        <v>21600</v>
      </c>
      <c r="H43">
        <f t="shared" si="17"/>
        <v>216000</v>
      </c>
      <c r="I43">
        <f t="shared" si="15"/>
        <v>0</v>
      </c>
      <c r="J43" t="s">
        <v>438</v>
      </c>
    </row>
  </sheetData>
  <autoFilter ref="A1:J43">
    <filterColumn colId="1"/>
    <filterColumn colId="2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250</v>
      </c>
      <c r="D12">
        <v>998</v>
      </c>
      <c r="E12">
        <v>4567</v>
      </c>
      <c r="F12" t="s">
        <v>251</v>
      </c>
    </row>
    <row r="13" spans="1:6">
      <c r="A13" s="1">
        <v>41516</v>
      </c>
      <c r="B13" t="s">
        <v>252</v>
      </c>
      <c r="D13">
        <v>1800</v>
      </c>
      <c r="E13">
        <v>2767</v>
      </c>
      <c r="F13" t="s">
        <v>251</v>
      </c>
    </row>
    <row r="14" spans="1:6">
      <c r="A14" s="1">
        <v>41519</v>
      </c>
      <c r="B14" t="s">
        <v>253</v>
      </c>
      <c r="D14">
        <v>1500</v>
      </c>
      <c r="E14">
        <v>1267</v>
      </c>
      <c r="F14" t="s">
        <v>251</v>
      </c>
    </row>
    <row r="15" spans="1:6">
      <c r="A15" s="1">
        <v>41799</v>
      </c>
      <c r="B15" t="s">
        <v>254</v>
      </c>
      <c r="D15">
        <v>1267</v>
      </c>
      <c r="E15">
        <v>0</v>
      </c>
      <c r="F15" t="s">
        <v>251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13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255</v>
      </c>
      <c r="C25">
        <v>300</v>
      </c>
      <c r="E25">
        <v>1432</v>
      </c>
      <c r="F25" t="s">
        <v>256</v>
      </c>
    </row>
    <row r="26" spans="1:6">
      <c r="A26" s="1">
        <v>41183</v>
      </c>
      <c r="B26" t="s">
        <v>257</v>
      </c>
      <c r="C26">
        <v>1000</v>
      </c>
      <c r="E26">
        <v>2432</v>
      </c>
      <c r="F26" t="s">
        <v>256</v>
      </c>
    </row>
    <row r="27" spans="1:6">
      <c r="A27" s="1">
        <v>41248</v>
      </c>
      <c r="B27" t="s">
        <v>258</v>
      </c>
      <c r="C27">
        <v>60</v>
      </c>
      <c r="E27">
        <v>2492</v>
      </c>
      <c r="F27" t="s">
        <v>256</v>
      </c>
    </row>
    <row r="28" spans="1:6">
      <c r="A28" s="1">
        <v>41250</v>
      </c>
      <c r="B28" t="s">
        <v>259</v>
      </c>
      <c r="C28">
        <v>100</v>
      </c>
      <c r="E28">
        <v>2592</v>
      </c>
      <c r="F28" t="s">
        <v>256</v>
      </c>
    </row>
    <row r="29" spans="1:6">
      <c r="A29" s="1">
        <v>41323</v>
      </c>
      <c r="B29" t="s">
        <v>260</v>
      </c>
      <c r="C29">
        <v>200</v>
      </c>
      <c r="E29">
        <v>2792</v>
      </c>
      <c r="F29" t="s">
        <v>256</v>
      </c>
    </row>
    <row r="30" spans="1:6">
      <c r="A30" s="1">
        <v>41325</v>
      </c>
      <c r="B30" t="s">
        <v>261</v>
      </c>
      <c r="D30">
        <v>40</v>
      </c>
      <c r="E30">
        <v>2752</v>
      </c>
      <c r="F30" t="s">
        <v>262</v>
      </c>
    </row>
    <row r="31" spans="1:6">
      <c r="A31" s="1">
        <v>41456</v>
      </c>
      <c r="B31" t="s">
        <v>263</v>
      </c>
      <c r="C31">
        <v>400</v>
      </c>
      <c r="E31">
        <v>3152</v>
      </c>
      <c r="F31" t="s">
        <v>264</v>
      </c>
    </row>
    <row r="32" spans="1:6">
      <c r="A32" s="1">
        <v>41481</v>
      </c>
      <c r="B32" t="s">
        <v>265</v>
      </c>
      <c r="D32">
        <v>352</v>
      </c>
      <c r="E32">
        <v>2800</v>
      </c>
      <c r="F32" t="s">
        <v>262</v>
      </c>
    </row>
    <row r="33" spans="1:6">
      <c r="A33" s="1">
        <v>41639</v>
      </c>
      <c r="B33" t="s">
        <v>266</v>
      </c>
      <c r="D33">
        <v>1620</v>
      </c>
      <c r="E33">
        <v>1180</v>
      </c>
      <c r="F33" t="s">
        <v>262</v>
      </c>
    </row>
    <row r="34" spans="1:6">
      <c r="A34" s="1">
        <v>41757</v>
      </c>
      <c r="B34" t="s">
        <v>263</v>
      </c>
      <c r="C34">
        <v>200</v>
      </c>
      <c r="E34">
        <v>1380</v>
      </c>
      <c r="F34" t="s">
        <v>264</v>
      </c>
    </row>
    <row r="35" spans="1:6">
      <c r="A35" s="1">
        <v>41799</v>
      </c>
      <c r="B35" t="s">
        <v>267</v>
      </c>
      <c r="D35">
        <v>1263</v>
      </c>
      <c r="E35">
        <v>117</v>
      </c>
      <c r="F35" t="s">
        <v>262</v>
      </c>
    </row>
    <row r="36" spans="1:6">
      <c r="A36" s="1">
        <v>41867</v>
      </c>
      <c r="B36" t="s">
        <v>263</v>
      </c>
      <c r="C36">
        <v>200</v>
      </c>
      <c r="E36">
        <v>317</v>
      </c>
      <c r="F36" t="s">
        <v>264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1"/>
  <sheetViews>
    <sheetView zoomScale="85" zoomScaleNormal="85" workbookViewId="0">
      <selection activeCell="N25" sqref="N25"/>
    </sheetView>
  </sheetViews>
  <sheetFormatPr defaultRowHeight="16.5"/>
  <cols>
    <col min="1" max="1" width="7" customWidth="1"/>
    <col min="2" max="3" width="9.125" customWidth="1"/>
    <col min="6" max="6" width="12.625" customWidth="1"/>
    <col min="7" max="7" width="13" customWidth="1"/>
    <col min="8" max="8" width="12.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</cols>
  <sheetData>
    <row r="1" spans="1:16">
      <c r="A1" s="2" t="s">
        <v>243</v>
      </c>
      <c r="B1" s="2" t="s">
        <v>244</v>
      </c>
      <c r="C1" s="2" t="s">
        <v>307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424</v>
      </c>
      <c r="I1" s="2" t="s">
        <v>333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</row>
    <row r="2" spans="1:16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9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9" si="1">(B2/(F2+I2))*100</f>
        <v>149.91499999999999</v>
      </c>
      <c r="P2">
        <f>(B2/E2)*10</f>
        <v>14.9915</v>
      </c>
    </row>
    <row r="3" spans="1:16">
      <c r="A3" s="11" t="s">
        <v>246</v>
      </c>
      <c r="B3">
        <v>20086</v>
      </c>
      <c r="D3">
        <f t="shared" ref="D3:D9" si="2">D2+B3</f>
        <v>50069</v>
      </c>
      <c r="E3">
        <f t="shared" ref="E3:E6" si="3">E2+G2+M2</f>
        <v>20000</v>
      </c>
      <c r="F3">
        <f t="shared" ref="F3:F6" si="4">F2+B2+G2+H2-L2</f>
        <v>43983</v>
      </c>
      <c r="G3">
        <v>40000</v>
      </c>
      <c r="I3">
        <v>0</v>
      </c>
      <c r="J3">
        <f t="shared" si="0"/>
        <v>0</v>
      </c>
      <c r="K3">
        <f t="shared" ref="K3:K9" si="5">K2+B3-L3-M3</f>
        <v>44069</v>
      </c>
      <c r="L3">
        <v>0</v>
      </c>
      <c r="M3">
        <v>0</v>
      </c>
      <c r="N3">
        <f t="shared" ref="N3:N9" si="6">(B3/F3)*100</f>
        <v>45.667644317122523</v>
      </c>
      <c r="O3">
        <f t="shared" si="1"/>
        <v>45.667644317122523</v>
      </c>
      <c r="P3">
        <f t="shared" ref="P3:P9" si="7">(B3/E3)*10</f>
        <v>10.042999999999999</v>
      </c>
    </row>
    <row r="4" spans="1:16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</row>
    <row r="5" spans="1:16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</row>
    <row r="6" spans="1:16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</row>
    <row r="7" spans="1:16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>F6+B6+G6+H6-L6</f>
        <v>2205678</v>
      </c>
      <c r="G7">
        <v>1404500</v>
      </c>
      <c r="H7">
        <v>189000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</row>
    <row r="8" spans="1:16">
      <c r="A8" s="11" t="s">
        <v>384</v>
      </c>
      <c r="B8">
        <v>395756</v>
      </c>
      <c r="C8">
        <v>540982</v>
      </c>
      <c r="D8">
        <f t="shared" si="2"/>
        <v>2685754</v>
      </c>
      <c r="E8">
        <f>E7+G7+M7</f>
        <v>3704300</v>
      </c>
      <c r="F8">
        <f>F7+B7+G7+H7-H6-L7</f>
        <v>5531342</v>
      </c>
      <c r="G8">
        <v>1032000</v>
      </c>
      <c r="H8">
        <v>189000</v>
      </c>
      <c r="I8">
        <v>3974696</v>
      </c>
      <c r="J8">
        <f t="shared" si="0"/>
        <v>41.812330226325628</v>
      </c>
      <c r="K8">
        <f>K7+B8-L8-M8</f>
        <v>1663368</v>
      </c>
      <c r="L8">
        <v>370430</v>
      </c>
      <c r="M8">
        <v>0</v>
      </c>
      <c r="N8">
        <f t="shared" si="6"/>
        <v>7.154791730469749</v>
      </c>
      <c r="O8">
        <f t="shared" si="1"/>
        <v>4.1632065851198998</v>
      </c>
      <c r="P8">
        <f t="shared" si="7"/>
        <v>1.0683691925599978</v>
      </c>
    </row>
    <row r="9" spans="1:16">
      <c r="A9" s="11" t="s">
        <v>422</v>
      </c>
      <c r="C9">
        <v>0</v>
      </c>
      <c r="D9">
        <f t="shared" si="2"/>
        <v>2685754</v>
      </c>
      <c r="E9">
        <f>E8+G8+M8</f>
        <v>4736300</v>
      </c>
      <c r="F9">
        <f>F8+B8+G8+H8-H7-L8</f>
        <v>6588668</v>
      </c>
      <c r="H9">
        <v>189000</v>
      </c>
      <c r="I9">
        <v>3214176</v>
      </c>
      <c r="J9">
        <f t="shared" si="0"/>
        <v>32.788199016530307</v>
      </c>
      <c r="K9">
        <f t="shared" si="5"/>
        <v>1663368</v>
      </c>
      <c r="L9">
        <v>0</v>
      </c>
      <c r="M9">
        <v>0</v>
      </c>
      <c r="N9">
        <f t="shared" si="6"/>
        <v>0</v>
      </c>
      <c r="O9">
        <f t="shared" si="1"/>
        <v>0</v>
      </c>
      <c r="P9">
        <f t="shared" si="7"/>
        <v>0</v>
      </c>
    </row>
    <row r="10" spans="1:16">
      <c r="A10" s="11"/>
    </row>
    <row r="11" spans="1:16">
      <c r="A11" s="11"/>
    </row>
    <row r="13" spans="1:16">
      <c r="K13" s="2" t="s">
        <v>309</v>
      </c>
      <c r="L13" s="2"/>
      <c r="M13" s="2"/>
    </row>
    <row r="14" spans="1:16">
      <c r="K14" s="2" t="s">
        <v>243</v>
      </c>
      <c r="L14" s="2" t="s">
        <v>317</v>
      </c>
      <c r="M14" s="2" t="s">
        <v>318</v>
      </c>
    </row>
    <row r="15" spans="1:16">
      <c r="K15">
        <v>2010</v>
      </c>
      <c r="L15">
        <f t="shared" ref="L15:L20" si="8">L2/(E2/10)</f>
        <v>3</v>
      </c>
      <c r="M15">
        <f t="shared" ref="M15:M21" si="9">M2/(E2/10)</f>
        <v>0</v>
      </c>
    </row>
    <row r="16" spans="1:16">
      <c r="K16">
        <v>2011</v>
      </c>
      <c r="L16">
        <f t="shared" si="8"/>
        <v>0</v>
      </c>
      <c r="M16">
        <f t="shared" si="9"/>
        <v>0</v>
      </c>
    </row>
    <row r="17" spans="11:13">
      <c r="K17">
        <v>2012</v>
      </c>
      <c r="L17">
        <f t="shared" si="8"/>
        <v>0</v>
      </c>
      <c r="M17">
        <f t="shared" si="9"/>
        <v>0</v>
      </c>
    </row>
    <row r="18" spans="11:13">
      <c r="K18">
        <v>2013</v>
      </c>
      <c r="L18">
        <f t="shared" si="8"/>
        <v>0</v>
      </c>
      <c r="M18">
        <f t="shared" si="9"/>
        <v>0</v>
      </c>
    </row>
    <row r="19" spans="11:13">
      <c r="K19">
        <v>2014</v>
      </c>
      <c r="L19">
        <f t="shared" si="8"/>
        <v>0</v>
      </c>
      <c r="M19">
        <f t="shared" si="9"/>
        <v>2</v>
      </c>
    </row>
    <row r="20" spans="11:13">
      <c r="K20">
        <v>2015</v>
      </c>
      <c r="L20">
        <f t="shared" si="8"/>
        <v>0.64</v>
      </c>
      <c r="M20">
        <f t="shared" si="9"/>
        <v>2</v>
      </c>
    </row>
    <row r="21" spans="11:13">
      <c r="K21">
        <v>2016</v>
      </c>
      <c r="L21">
        <v>1</v>
      </c>
      <c r="M21">
        <f t="shared" si="9"/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老婆合資(投資)</vt:lpstr>
      <vt:lpstr>股票獲利曲線</vt:lpstr>
      <vt:lpstr>股份統計</vt:lpstr>
      <vt:lpstr>公司資金</vt:lpstr>
      <vt:lpstr>專案收入</vt:lpstr>
      <vt:lpstr>福利金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2017-06-09T08:51:47Z</dcterms:modified>
</cp:coreProperties>
</file>