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2" sheetId="8" r:id="rId7"/>
  </sheets>
  <definedNames>
    <definedName name="_xlnm._FilterDatabase" localSheetId="0" hidden="1">'老婆合資(投資)'!$A$1:$K$416</definedName>
    <definedName name="_xlnm._FilterDatabase" localSheetId="2" hidden="1">股份統計!$A$1:$J$43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387" i="1"/>
  <c r="J387"/>
  <c r="C431"/>
  <c r="C424"/>
  <c r="J386"/>
  <c r="C405"/>
  <c r="C386"/>
  <c r="B424"/>
  <c r="C423"/>
  <c r="C415"/>
  <c r="C408"/>
  <c r="C422"/>
  <c r="J385"/>
  <c r="B384"/>
  <c r="C385"/>
  <c r="E384"/>
  <c r="B408"/>
  <c r="C378"/>
  <c r="R9" i="5"/>
  <c r="C421" i="1"/>
  <c r="J374"/>
  <c r="B431"/>
  <c r="B415"/>
  <c r="E9" i="5"/>
  <c r="C430" i="1"/>
  <c r="J373"/>
  <c r="C373"/>
  <c r="C374"/>
  <c r="C429"/>
  <c r="B372"/>
  <c r="J372" s="1"/>
  <c r="C428"/>
  <c r="C427"/>
  <c r="B368"/>
  <c r="J368" s="1"/>
  <c r="J362"/>
  <c r="C416"/>
  <c r="C362"/>
  <c r="J361"/>
  <c r="C426"/>
  <c r="C425"/>
  <c r="J9" i="5"/>
  <c r="C360" i="1"/>
  <c r="J360"/>
  <c r="C419"/>
  <c r="C420"/>
  <c r="C418"/>
  <c r="C417"/>
  <c r="C367"/>
  <c r="G43" i="6"/>
  <c r="I43" s="1"/>
  <c r="G42"/>
  <c r="I42" s="1"/>
  <c r="F9" i="5"/>
  <c r="G41" i="6"/>
  <c r="H41" s="1"/>
  <c r="C371" i="1"/>
  <c r="C366"/>
  <c r="C365"/>
  <c r="B358"/>
  <c r="J358" s="1"/>
  <c r="C361"/>
  <c r="C377"/>
  <c r="J348"/>
  <c r="C350"/>
  <c r="C348"/>
  <c r="C364"/>
  <c r="C363"/>
  <c r="C370"/>
  <c r="C369"/>
  <c r="J347"/>
  <c r="C347"/>
  <c r="J346"/>
  <c r="C346"/>
  <c r="J343"/>
  <c r="G40" i="6"/>
  <c r="H40" s="1"/>
  <c r="G39"/>
  <c r="H39" s="1"/>
  <c r="J431" i="1" l="1"/>
  <c r="J384"/>
  <c r="J408"/>
  <c r="J424"/>
  <c r="J415"/>
  <c r="H43" i="6"/>
  <c r="H42"/>
  <c r="I41"/>
  <c r="C407" i="1"/>
  <c r="C376"/>
  <c r="G35" i="6"/>
  <c r="I35" s="1"/>
  <c r="G37"/>
  <c r="I37" s="1"/>
  <c r="G38"/>
  <c r="I38" s="1"/>
  <c r="G36"/>
  <c r="I36" s="1"/>
  <c r="C406" i="1"/>
  <c r="J342"/>
  <c r="M15" i="8"/>
  <c r="L15"/>
  <c r="F3"/>
  <c r="O3" s="1"/>
  <c r="E3"/>
  <c r="E4" s="1"/>
  <c r="D3"/>
  <c r="D4" s="1"/>
  <c r="D5" s="1"/>
  <c r="D6" s="1"/>
  <c r="D7" s="1"/>
  <c r="D8" s="1"/>
  <c r="D9" s="1"/>
  <c r="P2"/>
  <c r="O2"/>
  <c r="N2"/>
  <c r="K2"/>
  <c r="K3" s="1"/>
  <c r="K4" s="1"/>
  <c r="K5" s="1"/>
  <c r="K6" s="1"/>
  <c r="K7" s="1"/>
  <c r="K8" s="1"/>
  <c r="K9" s="1"/>
  <c r="J2"/>
  <c r="K8" i="5"/>
  <c r="H37" i="6" l="1"/>
  <c r="H38"/>
  <c r="H36"/>
  <c r="H35"/>
  <c r="L17" i="8"/>
  <c r="M17"/>
  <c r="E5"/>
  <c r="P4"/>
  <c r="N3"/>
  <c r="M16"/>
  <c r="F4"/>
  <c r="L16"/>
  <c r="J3"/>
  <c r="P3"/>
  <c r="F7" i="5"/>
  <c r="C342" i="1"/>
  <c r="J337"/>
  <c r="C337"/>
  <c r="C375"/>
  <c r="J336"/>
  <c r="C414"/>
  <c r="K9" i="5"/>
  <c r="G33" i="6"/>
  <c r="G34"/>
  <c r="G32"/>
  <c r="G31"/>
  <c r="H31" l="1"/>
  <c r="I31"/>
  <c r="H33"/>
  <c r="I33"/>
  <c r="H34"/>
  <c r="I34"/>
  <c r="H32"/>
  <c r="I32"/>
  <c r="E6" i="8"/>
  <c r="P5"/>
  <c r="L18"/>
  <c r="M18"/>
  <c r="F5"/>
  <c r="N4"/>
  <c r="O4"/>
  <c r="J4"/>
  <c r="E8" i="5"/>
  <c r="P9" s="1"/>
  <c r="H30" i="6"/>
  <c r="G30"/>
  <c r="I30" s="1"/>
  <c r="C413" i="1"/>
  <c r="I24" i="6"/>
  <c r="H24"/>
  <c r="C336" i="1"/>
  <c r="C412"/>
  <c r="C411"/>
  <c r="J327"/>
  <c r="C410"/>
  <c r="C409"/>
  <c r="C404"/>
  <c r="C403"/>
  <c r="C357"/>
  <c r="J324"/>
  <c r="J323"/>
  <c r="J318"/>
  <c r="B317"/>
  <c r="J317" s="1"/>
  <c r="C401"/>
  <c r="C318"/>
  <c r="J305"/>
  <c r="C402"/>
  <c r="C305"/>
  <c r="J304"/>
  <c r="C304"/>
  <c r="J303"/>
  <c r="C302"/>
  <c r="J302"/>
  <c r="J301"/>
  <c r="C301"/>
  <c r="C300"/>
  <c r="J300"/>
  <c r="C299"/>
  <c r="J299"/>
  <c r="J298"/>
  <c r="C298"/>
  <c r="G23" i="6"/>
  <c r="H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G22" i="6"/>
  <c r="I22" s="1"/>
  <c r="J272" i="1"/>
  <c r="C272"/>
  <c r="C400"/>
  <c r="G20" i="6"/>
  <c r="I20" s="1"/>
  <c r="G21"/>
  <c r="H21" s="1"/>
  <c r="C281" i="1"/>
  <c r="C275"/>
  <c r="H22" i="6" l="1"/>
  <c r="O5" i="8"/>
  <c r="J5"/>
  <c r="F6"/>
  <c r="N5"/>
  <c r="L19"/>
  <c r="M19"/>
  <c r="E7"/>
  <c r="P6"/>
  <c r="I23" i="6"/>
  <c r="I21"/>
  <c r="H20"/>
  <c r="C274" i="1"/>
  <c r="C273"/>
  <c r="J271"/>
  <c r="J270"/>
  <c r="C270"/>
  <c r="J269"/>
  <c r="C269"/>
  <c r="J268"/>
  <c r="C268"/>
  <c r="C343"/>
  <c r="G26" i="6"/>
  <c r="I26" s="1"/>
  <c r="C271" i="1"/>
  <c r="J266"/>
  <c r="C266"/>
  <c r="J265"/>
  <c r="G29" i="6"/>
  <c r="G28"/>
  <c r="G27"/>
  <c r="G19"/>
  <c r="H19" s="1"/>
  <c r="G18"/>
  <c r="H18" s="1"/>
  <c r="R21" i="5"/>
  <c r="R20"/>
  <c r="Q20"/>
  <c r="P7"/>
  <c r="E3"/>
  <c r="E4" s="1"/>
  <c r="E5" s="1"/>
  <c r="E6" s="1"/>
  <c r="F8"/>
  <c r="D7"/>
  <c r="D8" s="1"/>
  <c r="D9" s="1"/>
  <c r="H28" i="6" l="1"/>
  <c r="I28"/>
  <c r="H27"/>
  <c r="I27"/>
  <c r="H29"/>
  <c r="I29"/>
  <c r="Q8" i="5"/>
  <c r="R8"/>
  <c r="O8"/>
  <c r="E8" i="8"/>
  <c r="P7"/>
  <c r="L20"/>
  <c r="M20"/>
  <c r="F7"/>
  <c r="N6"/>
  <c r="O6"/>
  <c r="J6"/>
  <c r="N7" i="5"/>
  <c r="R7"/>
  <c r="J7"/>
  <c r="Q7"/>
  <c r="O7"/>
  <c r="H26" i="6"/>
  <c r="P8" i="5"/>
  <c r="N8"/>
  <c r="M29"/>
  <c r="K26"/>
  <c r="B264" i="1"/>
  <c r="J264" s="1"/>
  <c r="J261"/>
  <c r="C314"/>
  <c r="J255"/>
  <c r="J257"/>
  <c r="J258"/>
  <c r="J259"/>
  <c r="J260"/>
  <c r="J256"/>
  <c r="G15" i="6"/>
  <c r="H15" s="1"/>
  <c r="G14"/>
  <c r="H14" s="1"/>
  <c r="O7" i="8" l="1"/>
  <c r="J7"/>
  <c r="F8"/>
  <c r="N7"/>
  <c r="M21"/>
  <c r="E9"/>
  <c r="P9" s="1"/>
  <c r="P8"/>
  <c r="Q9" i="5"/>
  <c r="M26"/>
  <c r="O9"/>
  <c r="N9"/>
  <c r="C313" i="1"/>
  <c r="B254"/>
  <c r="J254" s="1"/>
  <c r="J250"/>
  <c r="C250"/>
  <c r="J249"/>
  <c r="C249"/>
  <c r="C326"/>
  <c r="C311"/>
  <c r="C261"/>
  <c r="C312"/>
  <c r="B248"/>
  <c r="J248" s="1"/>
  <c r="C310"/>
  <c r="C399"/>
  <c r="C398"/>
  <c r="C309"/>
  <c r="C308"/>
  <c r="C247"/>
  <c r="C307"/>
  <c r="C246"/>
  <c r="C397"/>
  <c r="C396"/>
  <c r="C321"/>
  <c r="C319"/>
  <c r="C320"/>
  <c r="C395"/>
  <c r="J245"/>
  <c r="B244"/>
  <c r="J244" s="1"/>
  <c r="C243"/>
  <c r="C354"/>
  <c r="J241"/>
  <c r="C241"/>
  <c r="C325"/>
  <c r="C245"/>
  <c r="B240"/>
  <c r="J240" s="1"/>
  <c r="C242"/>
  <c r="C238"/>
  <c r="F9" i="8" l="1"/>
  <c r="N8"/>
  <c r="O8"/>
  <c r="J8"/>
  <c r="C322" i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88"/>
  <c r="C227"/>
  <c r="C239"/>
  <c r="C226"/>
  <c r="C356"/>
  <c r="C355"/>
  <c r="C224"/>
  <c r="C353"/>
  <c r="C352"/>
  <c r="C351"/>
  <c r="C349"/>
  <c r="C380"/>
  <c r="C222"/>
  <c r="J221"/>
  <c r="C221"/>
  <c r="C287"/>
  <c r="C379"/>
  <c r="C284"/>
  <c r="C265"/>
  <c r="C283"/>
  <c r="C262"/>
  <c r="C282"/>
  <c r="C263"/>
  <c r="C251"/>
  <c r="C394"/>
  <c r="C393"/>
  <c r="C286"/>
  <c r="C285"/>
  <c r="J219"/>
  <c r="J220"/>
  <c r="J218"/>
  <c r="J217"/>
  <c r="J212"/>
  <c r="J211"/>
  <c r="J209"/>
  <c r="J208"/>
  <c r="G13" i="6"/>
  <c r="H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G17" i="6"/>
  <c r="H17" s="1"/>
  <c r="G16"/>
  <c r="H16" s="1"/>
  <c r="J169" i="1"/>
  <c r="J170"/>
  <c r="J168"/>
  <c r="J167"/>
  <c r="J166"/>
  <c r="J164"/>
  <c r="J165"/>
  <c r="R2" i="5"/>
  <c r="J163" i="1"/>
  <c r="J162"/>
  <c r="J161"/>
  <c r="J160"/>
  <c r="R16" i="5"/>
  <c r="R17"/>
  <c r="R18"/>
  <c r="Q16"/>
  <c r="Q17"/>
  <c r="Q18"/>
  <c r="Q19"/>
  <c r="R15"/>
  <c r="Q15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G3" i="6"/>
  <c r="H3" s="1"/>
  <c r="G5"/>
  <c r="H5" s="1"/>
  <c r="G6"/>
  <c r="H6" s="1"/>
  <c r="G7"/>
  <c r="H7" s="1"/>
  <c r="G9"/>
  <c r="H9" s="1"/>
  <c r="G10"/>
  <c r="H10" s="1"/>
  <c r="G11"/>
  <c r="H11" s="1"/>
  <c r="G12"/>
  <c r="I12" s="1"/>
  <c r="G4"/>
  <c r="H4" s="1"/>
  <c r="G8"/>
  <c r="H8" s="1"/>
  <c r="G2"/>
  <c r="H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O9" i="8" l="1"/>
  <c r="J9"/>
  <c r="N9"/>
  <c r="H12" i="6"/>
  <c r="J235" i="1"/>
  <c r="I13" i="6"/>
  <c r="J8" i="5"/>
  <c r="E7"/>
  <c r="R19"/>
  <c r="K6"/>
  <c r="K7" s="1"/>
</calcChain>
</file>

<file path=xl/sharedStrings.xml><?xml version="1.0" encoding="utf-8"?>
<sst xmlns="http://schemas.openxmlformats.org/spreadsheetml/2006/main" count="1194" uniqueCount="458">
  <si>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</si>
  <si>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</si>
  <si>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</si>
  <si>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</si>
  <si>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</si>
  <si>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</si>
  <si>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</si>
  <si>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</si>
  <si>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</si>
  <si>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</si>
  <si>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</si>
  <si>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</si>
  <si>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</si>
  <si>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</si>
  <si>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</si>
  <si>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</si>
  <si>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</si>
  <si>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</si>
  <si>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</si>
  <si>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</si>
  <si>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</si>
  <si>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</si>
  <si>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</si>
  <si>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</si>
  <si>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</si>
  <si>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</si>
  <si>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</si>
  <si>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</si>
  <si>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</si>
  <si>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</si>
  <si>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</si>
  <si>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</si>
  <si>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</si>
  <si>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</si>
  <si>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</si>
  <si>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</si>
  <si>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</si>
  <si>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</si>
  <si>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</si>
  <si>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</si>
  <si>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</si>
  <si>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</si>
  <si>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</si>
  <si>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</si>
  <si>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</si>
  <si>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</si>
  <si>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</si>
  <si>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</si>
  <si>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</si>
  <si>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</si>
  <si>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</si>
  <si>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</si>
  <si>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</si>
  <si>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</si>
  <si>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</si>
  <si>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</si>
  <si>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</si>
  <si>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</si>
  <si>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</si>
  <si>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</si>
  <si>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</si>
  <si>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</si>
  <si>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</si>
  <si>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</si>
  <si>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</si>
  <si>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</si>
  <si>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</si>
  <si>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</si>
  <si>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</si>
  <si>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</si>
  <si>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</si>
  <si>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</si>
  <si>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</si>
  <si>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</si>
  <si>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</si>
  <si>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</si>
  <si>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</si>
  <si>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</si>
  <si>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</si>
  <si>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</si>
  <si>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</si>
  <si>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</si>
  <si>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</si>
  <si>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</si>
  <si>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</si>
  <si>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</si>
  <si>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</si>
  <si>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</si>
  <si>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</si>
  <si>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</si>
  <si>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</si>
  <si>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</si>
  <si>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</si>
  <si>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</si>
  <si>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</si>
  <si>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</si>
  <si>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</si>
  <si>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</si>
  <si>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</si>
  <si>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</si>
  <si>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</si>
  <si>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</si>
  <si>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</si>
  <si>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</si>
  <si>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</si>
  <si>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</si>
  <si>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</si>
  <si>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</si>
  <si>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</si>
  <si>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</si>
  <si>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</si>
  <si>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</si>
  <si>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</si>
  <si>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</si>
  <si>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</si>
  <si>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</si>
  <si>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</si>
  <si>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</si>
  <si>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</si>
  <si>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</si>
  <si>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</si>
  <si>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</si>
  <si>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</si>
  <si>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</si>
  <si>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</si>
  <si>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</si>
  <si>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</si>
  <si>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</si>
  <si>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</si>
  <si>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</si>
  <si>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</si>
  <si>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</si>
  <si>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</si>
  <si>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</si>
  <si>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</si>
  <si>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</si>
  <si>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</si>
  <si>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</si>
  <si>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</si>
  <si>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</si>
  <si>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</si>
  <si>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</si>
  <si>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</si>
  <si>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</si>
  <si>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</si>
  <si>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</si>
  <si>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</si>
  <si>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</si>
  <si>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</si>
  <si>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</si>
  <si>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</si>
  <si>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</si>
  <si>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</si>
  <si>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</si>
  <si>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</si>
  <si>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</si>
  <si>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</si>
  <si>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</si>
  <si>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</si>
  <si>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</si>
  <si>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</si>
  <si>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</si>
  <si>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</si>
  <si>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</si>
  <si>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</si>
  <si>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</si>
  <si>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</si>
  <si>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</si>
  <si>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</si>
  <si>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</si>
  <si>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</si>
  <si>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</si>
  <si>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</si>
  <si>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</si>
  <si>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</si>
  <si>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</si>
  <si>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</si>
  <si>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</si>
  <si>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</si>
  <si>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</si>
  <si>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</si>
  <si>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</si>
  <si>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</si>
  <si>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</si>
  <si>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</si>
  <si>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</si>
  <si>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</si>
  <si>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</si>
  <si>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</si>
  <si>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</si>
  <si>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</si>
  <si>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</si>
  <si>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</si>
  <si>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</si>
  <si>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</si>
  <si>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</si>
  <si>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</si>
  <si>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</si>
  <si>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</si>
  <si>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</si>
  <si>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</si>
  <si>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</si>
  <si>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</si>
  <si>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</si>
  <si>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</si>
  <si>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</si>
  <si>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</si>
  <si>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</si>
  <si>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</si>
  <si>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</si>
  <si>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</si>
  <si>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</si>
  <si>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</si>
  <si>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</si>
  <si>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</si>
  <si>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</si>
  <si>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</si>
  <si>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</si>
  <si>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</si>
  <si>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</si>
  <si>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</si>
  <si>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</si>
  <si>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</si>
  <si>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</si>
  <si>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</si>
  <si>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</si>
  <si>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</si>
  <si>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</si>
  <si>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</si>
  <si>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</si>
  <si>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</si>
  <si>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</si>
  <si>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</si>
  <si>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</si>
  <si>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</si>
  <si>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</si>
  <si>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</si>
  <si>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</si>
  <si>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</si>
  <si>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</si>
  <si>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</si>
  <si>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</si>
  <si>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</si>
  <si>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</si>
  <si>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</si>
  <si>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</si>
  <si>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</si>
  <si>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</si>
  <si>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</si>
  <si>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</si>
  <si>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</si>
  <si>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</si>
  <si>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</si>
  <si>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</si>
  <si>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</si>
  <si>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</si>
  <si>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</si>
  <si>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</si>
  <si>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</si>
  <si>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</si>
  <si>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</si>
  <si>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</si>
  <si>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</si>
  <si>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</si>
  <si>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</si>
  <si>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</si>
  <si>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</si>
  <si>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</si>
  <si>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</si>
  <si>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</si>
  <si>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</si>
  <si>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</si>
  <si>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</si>
  <si>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</si>
  <si>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</si>
  <si>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</si>
  <si>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</si>
  <si>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</si>
  <si>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</si>
  <si>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</si>
  <si>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</si>
  <si>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</si>
  <si>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</si>
  <si>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</si>
  <si>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</si>
  <si>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</si>
  <si>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</si>
  <si>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</si>
  <si>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</si>
  <si>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</si>
  <si>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</si>
  <si>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</si>
  <si>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</si>
  <si>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</si>
  <si>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</si>
  <si>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</si>
  <si>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</si>
  <si>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</si>
  <si>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</si>
  <si>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</si>
  <si>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</si>
  <si>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</si>
  <si>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</si>
  <si>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</si>
  <si>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</si>
  <si>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</si>
  <si>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</si>
  <si>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</si>
  <si>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</si>
  <si>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</si>
  <si>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</si>
  <si>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</si>
  <si>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</si>
  <si>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</si>
  <si>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</si>
  <si>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</si>
  <si>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</si>
  <si>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</si>
  <si>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</si>
  <si>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</si>
  <si>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</si>
  <si>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</si>
  <si>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</si>
  <si>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</si>
  <si>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</si>
  <si>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</si>
  <si>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</si>
  <si>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</si>
  <si>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</si>
  <si>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</si>
  <si>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</si>
  <si>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</si>
  <si>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</si>
  <si>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</si>
  <si>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</si>
  <si>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</si>
  <si>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</si>
  <si>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</si>
  <si>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</si>
  <si>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</si>
  <si>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</si>
  <si>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</si>
  <si>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</si>
  <si>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</si>
  <si>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</si>
  <si>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</si>
  <si>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</si>
  <si>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</si>
  <si>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</si>
  <si>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</si>
  <si>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</si>
  <si>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</si>
  <si>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</si>
  <si>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</si>
  <si>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</si>
  <si>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</si>
  <si>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</si>
  <si>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</si>
  <si>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</si>
  <si>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</si>
  <si>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</si>
  <si>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</si>
  <si>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</si>
  <si>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</si>
  <si>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</si>
  <si>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</si>
  <si>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</si>
  <si>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</si>
  <si>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</si>
  <si>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</si>
  <si>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</si>
  <si>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</si>
  <si>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</si>
  <si>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</si>
  <si>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</si>
  <si>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</si>
  <si>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</si>
  <si>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</si>
  <si>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</si>
  <si>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</si>
  <si>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</si>
  <si>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</si>
  <si>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</si>
  <si>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</si>
  <si>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</si>
  <si>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</si>
  <si>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</si>
  <si>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</si>
  <si>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</si>
  <si>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</si>
  <si>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</si>
  <si>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</si>
  <si>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</si>
  <si>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</si>
  <si>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</si>
  <si>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</si>
  <si>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</si>
  <si>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</si>
  <si>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</si>
  <si>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</si>
  <si>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</si>
  <si>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</si>
  <si>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</si>
  <si>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</si>
  <si>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</si>
  <si>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</si>
  <si>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(4119旭富)19張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</si>
  <si>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</si>
  <si>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</si>
  <si>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</si>
  <si>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</si>
  <si>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</si>
  <si>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</si>
  <si>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</si>
  <si>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</si>
  <si>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通訊行傭金退傭</t>
    <phoneticPr fontId="1" type="noConversion"/>
  </si>
  <si>
    <t>Sara Liang</t>
    <phoneticPr fontId="1" type="noConversion"/>
  </si>
  <si>
    <t>梁鳳真(一銀 轉帳)</t>
    <phoneticPr fontId="1" type="noConversion"/>
  </si>
  <si>
    <t>Grace Cheng</t>
    <phoneticPr fontId="1" type="noConversion"/>
  </si>
  <si>
    <t>穩懋減資</t>
    <phoneticPr fontId="1" type="noConversion"/>
  </si>
  <si>
    <t>(3105穩懋)694股  本來1張,減資後變成694股</t>
    <phoneticPr fontId="1" type="noConversion"/>
  </si>
  <si>
    <t>鄭君儀(中信 轉帳)</t>
    <phoneticPr fontId="1" type="noConversion"/>
  </si>
  <si>
    <t>2016信用貸款每月出資轉認股</t>
    <phoneticPr fontId="1" type="noConversion"/>
  </si>
  <si>
    <t>2017</t>
    <phoneticPr fontId="1" type="noConversion"/>
  </si>
  <si>
    <t>增資記股年分</t>
    <phoneticPr fontId="1" type="noConversion"/>
  </si>
  <si>
    <t>期末資本公積</t>
    <phoneticPr fontId="1" type="noConversion"/>
  </si>
  <si>
    <t xml:space="preserve">2016匯豐信貸成本 </t>
    <phoneticPr fontId="1" type="noConversion"/>
  </si>
  <si>
    <t>通訊行認列部分虧損</t>
    <phoneticPr fontId="1" type="noConversion"/>
  </si>
  <si>
    <t>(4972湯石)0.452張</t>
    <phoneticPr fontId="1" type="noConversion"/>
  </si>
  <si>
    <t>現金股利轉增資</t>
    <phoneticPr fontId="1" type="noConversion"/>
  </si>
  <si>
    <t>(4912)聯德借券收入(39張)</t>
    <phoneticPr fontId="1" type="noConversion"/>
  </si>
  <si>
    <t>(4912)聯德借券收入(8張)</t>
    <phoneticPr fontId="1" type="noConversion"/>
  </si>
  <si>
    <t>(3068美磊)2張</t>
    <phoneticPr fontId="1" type="noConversion"/>
  </si>
  <si>
    <t>(3068美磊)1張</t>
    <phoneticPr fontId="1" type="noConversion"/>
  </si>
  <si>
    <t>(4912聯德)10張</t>
    <phoneticPr fontId="1" type="noConversion"/>
  </si>
  <si>
    <t xml:space="preserve"> </t>
    <phoneticPr fontId="1" type="noConversion"/>
  </si>
  <si>
    <t>(4912)聯德53張</t>
    <phoneticPr fontId="1" type="noConversion"/>
  </si>
  <si>
    <t>通訊行認列剩餘10萬  投資通訊行(品讚總部)(總共63.5萬, 我37.5跟我姊6, 維修20)</t>
    <phoneticPr fontId="1" type="noConversion"/>
  </si>
  <si>
    <t>(3068美磊)3張</t>
    <phoneticPr fontId="1" type="noConversion"/>
  </si>
  <si>
    <t>2017信用貸款每月出資轉認股</t>
    <phoneticPr fontId="1" type="noConversion"/>
  </si>
  <si>
    <t>(5289 宜鼎)2張</t>
    <phoneticPr fontId="1" type="noConversion"/>
  </si>
  <si>
    <t>(3068美磊)6張</t>
    <phoneticPr fontId="1" type="noConversion"/>
  </si>
  <si>
    <t>(5289 宜鼎)3張</t>
    <phoneticPr fontId="1" type="noConversion"/>
  </si>
  <si>
    <t>(5289 宜鼎)5張</t>
    <phoneticPr fontId="1" type="noConversion"/>
  </si>
  <si>
    <t>(4119旭富)10張</t>
    <phoneticPr fontId="1" type="noConversion"/>
  </si>
  <si>
    <t>(4958 臻鼎)20張</t>
    <phoneticPr fontId="1" type="noConversion"/>
  </si>
  <si>
    <t>(5289 宜鼎)1張</t>
    <phoneticPr fontId="1" type="noConversion"/>
  </si>
  <si>
    <t>(5289 宜鼎)29張</t>
    <phoneticPr fontId="1" type="noConversion"/>
  </si>
  <si>
    <t>(4958 臻鼎)1張</t>
    <phoneticPr fontId="1" type="noConversion"/>
  </si>
  <si>
    <t>(4958 臻鼎)12張</t>
    <phoneticPr fontId="1" type="noConversion"/>
  </si>
  <si>
    <t>(3068 美磊)2張</t>
    <phoneticPr fontId="1" type="noConversion"/>
  </si>
  <si>
    <t>(3068 美磊)1張</t>
    <phoneticPr fontId="1" type="noConversion"/>
  </si>
  <si>
    <t>湯石未實現損益</t>
    <phoneticPr fontId="1" type="noConversion"/>
  </si>
  <si>
    <t>旭富未實現損益</t>
    <phoneticPr fontId="1" type="noConversion"/>
  </si>
  <si>
    <t>宜鼎未實現損益</t>
    <phoneticPr fontId="1" type="noConversion"/>
  </si>
  <si>
    <t>臻鼎未實現損益</t>
    <phoneticPr fontId="1" type="noConversion"/>
  </si>
  <si>
    <t>(3068 美磊)4張</t>
    <phoneticPr fontId="1" type="noConversion"/>
  </si>
  <si>
    <t>(3068 美磊)2張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</si>
</sst>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股票獲利曲線!$B$2:$B$9</c:f>
              <c:numCache>
                <c:formatCode>General</c:formatCode>
                <c:ptCount val="8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  <c:pt idx="7">
                  <c:v>1639021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股票獲利曲線!$D$2:$D$9</c:f>
              <c:numCache>
                <c:formatCode>General</c:formatCode>
                <c:ptCount val="8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  <c:pt idx="7">
                  <c:v>4324775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股票獲利曲線!$C$2:$C$9</c:f>
              <c:numCache>
                <c:formatCode>General</c:formatCode>
                <c:ptCount val="8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  <c:pt idx="7">
                  <c:v>0</c:v>
                </c:pt>
              </c:numCache>
            </c:numRef>
          </c:val>
        </c:ser>
        <c:marker val="1"/>
        <c:axId val="162921088"/>
        <c:axId val="47346816"/>
      </c:lineChart>
      <c:catAx>
        <c:axId val="162921088"/>
        <c:scaling>
          <c:orientation val="minMax"/>
        </c:scaling>
        <c:axPos val="b"/>
        <c:tickLblPos val="nextTo"/>
        <c:crossAx val="47346816"/>
        <c:crosses val="autoZero"/>
        <c:auto val="1"/>
        <c:lblAlgn val="ctr"/>
        <c:lblOffset val="100"/>
      </c:catAx>
      <c:valAx>
        <c:axId val="47346816"/>
        <c:scaling>
          <c:orientation val="minMax"/>
        </c:scaling>
        <c:axPos val="l"/>
        <c:majorGridlines/>
        <c:numFmt formatCode="General" sourceLinked="1"/>
        <c:tickLblPos val="nextTo"/>
        <c:crossAx val="162921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149588224"/>
        <c:axId val="149598208"/>
      </c:lineChart>
      <c:catAx>
        <c:axId val="149588224"/>
        <c:scaling>
          <c:orientation val="minMax"/>
        </c:scaling>
        <c:axPos val="b"/>
        <c:tickLblPos val="nextTo"/>
        <c:crossAx val="149598208"/>
        <c:crosses val="autoZero"/>
        <c:auto val="1"/>
        <c:lblAlgn val="ctr"/>
        <c:lblOffset val="100"/>
      </c:catAx>
      <c:valAx>
        <c:axId val="149598208"/>
        <c:scaling>
          <c:orientation val="minMax"/>
        </c:scaling>
        <c:axPos val="l"/>
        <c:majorGridlines/>
        <c:numFmt formatCode="General" sourceLinked="1"/>
        <c:tickLblPos val="nextTo"/>
        <c:crossAx val="1495882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70"/>
  <sheetViews>
    <sheetView tabSelected="1" topLeftCell="A366" zoomScale="85" zoomScaleNormal="85" workbookViewId="0">
      <selection activeCell="J387" sqref="J387"/>
    </sheetView>
  </sheetViews>
  <sheetFormatPr defaultRowHeight="16.5"/>
  <cols>
    <col min="1" max="1" width="15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358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391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389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325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324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319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321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326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327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328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331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331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341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341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331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342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331</v>
      </c>
    </row>
    <row r="192" spans="1:11">
      <c r="A192" s="1">
        <v>41964</v>
      </c>
      <c r="D192" s="1">
        <v>42185</v>
      </c>
      <c r="J192">
        <v>-10196</v>
      </c>
      <c r="K192" s="12" t="s">
        <v>343</v>
      </c>
    </row>
    <row r="193" spans="1:11">
      <c r="A193" s="1">
        <v>41956</v>
      </c>
      <c r="D193" s="1">
        <v>42186</v>
      </c>
      <c r="J193">
        <v>-19427</v>
      </c>
      <c r="K193" s="12" t="s">
        <v>344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341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331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331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347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349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347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347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350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328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349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354</v>
      </c>
    </row>
    <row r="214" spans="1:11">
      <c r="A214" s="1">
        <v>42235</v>
      </c>
      <c r="D214" s="1"/>
      <c r="J214">
        <v>14032</v>
      </c>
      <c r="K214" t="s">
        <v>355</v>
      </c>
    </row>
    <row r="215" spans="1:11">
      <c r="A215" s="1">
        <v>42236</v>
      </c>
      <c r="D215" s="1"/>
      <c r="J215">
        <v>40760</v>
      </c>
      <c r="K215" t="s">
        <v>356</v>
      </c>
    </row>
    <row r="216" spans="1:11">
      <c r="A216" s="1">
        <v>42236</v>
      </c>
      <c r="D216" s="1"/>
      <c r="J216">
        <v>252157</v>
      </c>
      <c r="K216" t="s">
        <v>356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351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351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351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360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359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350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361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359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350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331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364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363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365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362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366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345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367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350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369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371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403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350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374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374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402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357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350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331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331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331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376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377</v>
      </c>
    </row>
    <row r="258" spans="1:12" s="5" customFormat="1">
      <c r="A258" s="4">
        <v>42369</v>
      </c>
      <c r="B258" s="5">
        <v>15722</v>
      </c>
      <c r="J258" s="5">
        <f t="shared" si="6"/>
        <v>-15722</v>
      </c>
      <c r="K258" s="15" t="s">
        <v>397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378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379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331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331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331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401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352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385</v>
      </c>
    </row>
    <row r="267" spans="1:12">
      <c r="A267" s="1">
        <v>42370</v>
      </c>
      <c r="D267" s="1"/>
      <c r="J267" s="5"/>
      <c r="K267" s="12" t="s">
        <v>388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385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385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385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352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350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385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347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350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400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392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394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350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393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341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331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331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331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357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331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331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401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385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385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393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393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393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393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393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400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395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394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341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396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341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331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350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342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341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373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350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350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350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350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350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350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350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350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393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393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400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398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341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372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331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348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404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405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368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341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408</v>
      </c>
    </row>
    <row r="328" spans="1:12">
      <c r="A328" s="1">
        <v>42594</v>
      </c>
      <c r="D328" s="1"/>
      <c r="J328">
        <v>281990</v>
      </c>
      <c r="K328" t="s">
        <v>356</v>
      </c>
    </row>
    <row r="329" spans="1:12">
      <c r="A329" s="1">
        <v>42594</v>
      </c>
      <c r="D329" s="1"/>
      <c r="J329">
        <v>60314</v>
      </c>
      <c r="K329" t="s">
        <v>356</v>
      </c>
    </row>
    <row r="330" spans="1:12">
      <c r="A330" s="1">
        <v>42601</v>
      </c>
      <c r="D330" s="1"/>
      <c r="J330">
        <v>71369</v>
      </c>
      <c r="K330" t="s">
        <v>410</v>
      </c>
    </row>
    <row r="331" spans="1:12">
      <c r="A331" s="1">
        <v>42611</v>
      </c>
      <c r="D331" s="1"/>
      <c r="J331">
        <v>93117</v>
      </c>
      <c r="K331" t="s">
        <v>411</v>
      </c>
    </row>
    <row r="332" spans="1:12">
      <c r="A332" s="1">
        <v>42611</v>
      </c>
      <c r="D332" s="1"/>
      <c r="J332">
        <v>30941</v>
      </c>
      <c r="K332" t="s">
        <v>411</v>
      </c>
    </row>
    <row r="333" spans="1:12">
      <c r="A333" s="1">
        <v>42611</v>
      </c>
      <c r="D333" s="1"/>
      <c r="J333">
        <v>158</v>
      </c>
      <c r="K333" t="s">
        <v>411</v>
      </c>
    </row>
    <row r="334" spans="1:12">
      <c r="A334" s="1">
        <v>42602</v>
      </c>
      <c r="D334" s="1"/>
      <c r="J334">
        <v>2000</v>
      </c>
      <c r="K334" t="s">
        <v>415</v>
      </c>
    </row>
    <row r="335" spans="1:12">
      <c r="A335" s="1">
        <v>42636</v>
      </c>
      <c r="D335" s="1"/>
      <c r="J335">
        <v>3093</v>
      </c>
      <c r="K335" t="s">
        <v>419</v>
      </c>
    </row>
    <row r="336" spans="1:12">
      <c r="A336" s="1">
        <v>42612</v>
      </c>
      <c r="B336" s="5">
        <v>62944</v>
      </c>
      <c r="C336">
        <f>B336/1</f>
        <v>62944</v>
      </c>
      <c r="D336" s="1">
        <v>42655</v>
      </c>
      <c r="E336">
        <v>63681</v>
      </c>
      <c r="F336" t="s">
        <v>7</v>
      </c>
      <c r="J336">
        <f>E336-B336</f>
        <v>737</v>
      </c>
      <c r="K336" t="s">
        <v>420</v>
      </c>
      <c r="L336">
        <v>0.69399999999999995</v>
      </c>
    </row>
    <row r="337" spans="1:12">
      <c r="A337" s="1">
        <v>42678</v>
      </c>
      <c r="B337" s="5">
        <v>75653</v>
      </c>
      <c r="C337" s="5">
        <f>B337/1</f>
        <v>75653</v>
      </c>
      <c r="D337" s="1">
        <v>42678</v>
      </c>
      <c r="E337" s="5">
        <v>75708</v>
      </c>
      <c r="F337" t="s">
        <v>7</v>
      </c>
      <c r="J337">
        <f>E337-B337</f>
        <v>55</v>
      </c>
      <c r="K337" t="s">
        <v>221</v>
      </c>
      <c r="L337">
        <v>1</v>
      </c>
    </row>
    <row r="338" spans="1:12">
      <c r="A338" s="1">
        <v>42735</v>
      </c>
      <c r="B338" s="5"/>
      <c r="C338" s="5"/>
      <c r="D338" s="1"/>
      <c r="E338" s="5"/>
      <c r="J338">
        <v>-275000</v>
      </c>
      <c r="K338" s="12" t="s">
        <v>427</v>
      </c>
    </row>
    <row r="339" spans="1:12">
      <c r="A339" s="1">
        <v>42735</v>
      </c>
      <c r="B339" s="5"/>
      <c r="C339" s="5"/>
      <c r="D339" s="1"/>
      <c r="E339" s="5"/>
      <c r="J339">
        <v>-15800</v>
      </c>
      <c r="K339" s="15" t="s">
        <v>426</v>
      </c>
    </row>
    <row r="340" spans="1:12">
      <c r="A340" s="1">
        <v>42735</v>
      </c>
      <c r="B340" s="5"/>
      <c r="C340" s="5"/>
      <c r="D340" s="1"/>
      <c r="E340" s="5"/>
      <c r="J340">
        <v>-42830</v>
      </c>
      <c r="K340" s="12" t="s">
        <v>378</v>
      </c>
    </row>
    <row r="341" spans="1:12">
      <c r="A341" s="1">
        <v>42735</v>
      </c>
      <c r="B341" s="5"/>
      <c r="C341" s="5"/>
      <c r="D341" s="1"/>
      <c r="E341" s="5"/>
      <c r="J341">
        <v>-31194</v>
      </c>
      <c r="K341" s="12" t="s">
        <v>379</v>
      </c>
    </row>
    <row r="342" spans="1:12">
      <c r="A342" s="1">
        <v>42683</v>
      </c>
      <c r="B342" s="5">
        <v>73052</v>
      </c>
      <c r="C342">
        <f>B342/1</f>
        <v>73052</v>
      </c>
      <c r="D342" s="1">
        <v>42744</v>
      </c>
      <c r="E342">
        <v>76117</v>
      </c>
      <c r="F342" t="s">
        <v>7</v>
      </c>
      <c r="J342">
        <f>E342-B342</f>
        <v>3065</v>
      </c>
      <c r="K342" t="s">
        <v>409</v>
      </c>
      <c r="L342">
        <v>1</v>
      </c>
    </row>
    <row r="343" spans="1:12">
      <c r="A343" s="1">
        <v>42111</v>
      </c>
      <c r="B343">
        <v>99484</v>
      </c>
      <c r="C343" s="5">
        <f>B343/1</f>
        <v>99484</v>
      </c>
      <c r="D343" s="1">
        <v>42759</v>
      </c>
      <c r="E343" s="5">
        <v>103614</v>
      </c>
      <c r="F343" t="s">
        <v>7</v>
      </c>
      <c r="J343">
        <f>E343-B343</f>
        <v>4130</v>
      </c>
      <c r="K343" t="s">
        <v>221</v>
      </c>
      <c r="L343">
        <v>1</v>
      </c>
    </row>
    <row r="344" spans="1:12">
      <c r="A344" s="1">
        <v>42761</v>
      </c>
      <c r="C344" s="5"/>
      <c r="D344" s="1"/>
      <c r="E344" s="5"/>
      <c r="J344">
        <v>3467</v>
      </c>
      <c r="K344" t="s">
        <v>430</v>
      </c>
    </row>
    <row r="345" spans="1:12">
      <c r="A345" s="1">
        <v>42761</v>
      </c>
      <c r="C345" s="5"/>
      <c r="D345" s="1"/>
      <c r="E345" s="5"/>
      <c r="J345">
        <v>712</v>
      </c>
      <c r="K345" t="s">
        <v>431</v>
      </c>
    </row>
    <row r="346" spans="1:12">
      <c r="A346" s="1">
        <v>42768</v>
      </c>
      <c r="B346">
        <v>103073</v>
      </c>
      <c r="C346" s="5">
        <f>B346/1</f>
        <v>103073</v>
      </c>
      <c r="D346" s="1">
        <v>42768</v>
      </c>
      <c r="E346" s="5">
        <v>107102</v>
      </c>
      <c r="F346" t="s">
        <v>7</v>
      </c>
      <c r="J346">
        <f>E346-B346</f>
        <v>4029</v>
      </c>
      <c r="K346" t="s">
        <v>221</v>
      </c>
      <c r="L346">
        <v>1</v>
      </c>
    </row>
    <row r="347" spans="1:12">
      <c r="A347" s="1">
        <v>42115</v>
      </c>
      <c r="B347">
        <v>93734</v>
      </c>
      <c r="C347" s="5">
        <f>B347/1</f>
        <v>93734</v>
      </c>
      <c r="D347" s="1">
        <v>42768</v>
      </c>
      <c r="E347" s="5">
        <v>108596</v>
      </c>
      <c r="F347" t="s">
        <v>7</v>
      </c>
      <c r="J347">
        <f>E347-B347</f>
        <v>14862</v>
      </c>
      <c r="K347" t="s">
        <v>221</v>
      </c>
      <c r="L347">
        <v>1</v>
      </c>
    </row>
    <row r="348" spans="1:12">
      <c r="A348" s="1">
        <v>42115</v>
      </c>
      <c r="B348">
        <v>187468</v>
      </c>
      <c r="C348" s="5">
        <f>B348/2</f>
        <v>93734</v>
      </c>
      <c r="D348" s="1">
        <v>42772</v>
      </c>
      <c r="E348" s="5">
        <v>245087</v>
      </c>
      <c r="F348" t="s">
        <v>7</v>
      </c>
      <c r="J348">
        <f>E348-B348</f>
        <v>57619</v>
      </c>
      <c r="K348" t="s">
        <v>342</v>
      </c>
      <c r="L348">
        <v>2</v>
      </c>
    </row>
    <row r="349" spans="1:12">
      <c r="A349" s="1">
        <v>42096</v>
      </c>
      <c r="B349">
        <v>1413154</v>
      </c>
      <c r="C349" s="5">
        <f>B349/15.564</f>
        <v>90796.324852223072</v>
      </c>
      <c r="D349" s="1"/>
      <c r="F349" t="s">
        <v>7</v>
      </c>
      <c r="K349" t="s">
        <v>322</v>
      </c>
      <c r="L349">
        <v>15.564</v>
      </c>
    </row>
    <row r="350" spans="1:12">
      <c r="A350" s="1">
        <v>42115</v>
      </c>
      <c r="B350">
        <v>749874</v>
      </c>
      <c r="C350" s="5">
        <f>B350/8</f>
        <v>93734.25</v>
      </c>
      <c r="D350" s="1"/>
      <c r="F350" t="s">
        <v>7</v>
      </c>
      <c r="K350" t="s">
        <v>434</v>
      </c>
      <c r="L350">
        <v>8</v>
      </c>
    </row>
    <row r="351" spans="1:12">
      <c r="A351" s="1">
        <v>42116</v>
      </c>
      <c r="B351">
        <v>1310819</v>
      </c>
      <c r="C351" s="5">
        <f>B351/14</f>
        <v>93629.928571428565</v>
      </c>
      <c r="D351" s="1"/>
      <c r="F351" t="s">
        <v>7</v>
      </c>
      <c r="K351" t="s">
        <v>320</v>
      </c>
      <c r="L351">
        <v>14</v>
      </c>
    </row>
    <row r="352" spans="1:12">
      <c r="A352" s="1">
        <v>42121</v>
      </c>
      <c r="B352">
        <v>87875</v>
      </c>
      <c r="C352" s="5">
        <f>B352/1</f>
        <v>87875</v>
      </c>
      <c r="D352" s="1"/>
      <c r="F352" t="s">
        <v>7</v>
      </c>
      <c r="K352" t="s">
        <v>221</v>
      </c>
      <c r="L352">
        <v>1</v>
      </c>
    </row>
    <row r="353" spans="1:12">
      <c r="A353" s="1">
        <v>42122</v>
      </c>
      <c r="B353">
        <v>810692</v>
      </c>
      <c r="C353" s="5">
        <f>B353/9</f>
        <v>90076.888888888891</v>
      </c>
      <c r="D353" s="1"/>
      <c r="F353" t="s">
        <v>7</v>
      </c>
      <c r="K353" t="s">
        <v>323</v>
      </c>
      <c r="L353">
        <v>9</v>
      </c>
    </row>
    <row r="354" spans="1:12">
      <c r="A354" s="1">
        <v>42144</v>
      </c>
      <c r="B354">
        <v>4675</v>
      </c>
      <c r="C354" s="5">
        <f>B354/0.091</f>
        <v>51373.626373626372</v>
      </c>
      <c r="D354" s="1"/>
      <c r="F354" t="s">
        <v>7</v>
      </c>
      <c r="K354" t="s">
        <v>370</v>
      </c>
      <c r="L354">
        <v>9.0999999999999998E-2</v>
      </c>
    </row>
    <row r="355" spans="1:12">
      <c r="A355" s="1">
        <v>42150</v>
      </c>
      <c r="B355">
        <v>1050</v>
      </c>
      <c r="C355" s="5">
        <f>B355/0.054</f>
        <v>19444.444444444445</v>
      </c>
      <c r="D355" s="1"/>
      <c r="F355" t="s">
        <v>7</v>
      </c>
      <c r="K355" t="s">
        <v>329</v>
      </c>
      <c r="L355">
        <v>5.3999999999999999E-2</v>
      </c>
    </row>
    <row r="356" spans="1:12">
      <c r="A356" s="1">
        <v>42156</v>
      </c>
      <c r="B356">
        <v>22340</v>
      </c>
      <c r="C356" s="5">
        <f>B356/0.291</f>
        <v>76769.759450171827</v>
      </c>
      <c r="D356" s="1"/>
      <c r="F356" t="s">
        <v>7</v>
      </c>
      <c r="K356" t="s">
        <v>330</v>
      </c>
      <c r="L356">
        <v>0.29099999999999998</v>
      </c>
    </row>
    <row r="357" spans="1:12">
      <c r="A357" s="1">
        <v>42548</v>
      </c>
      <c r="B357">
        <v>418697</v>
      </c>
      <c r="C357" s="5">
        <f>B357/5</f>
        <v>83739.399999999994</v>
      </c>
      <c r="D357" s="1"/>
      <c r="F357" t="s">
        <v>7</v>
      </c>
      <c r="K357" t="s">
        <v>326</v>
      </c>
      <c r="L357">
        <v>5</v>
      </c>
    </row>
    <row r="358" spans="1:12">
      <c r="A358" s="1"/>
      <c r="B358">
        <f>SUM(B349:B357)</f>
        <v>4819176</v>
      </c>
      <c r="C358" s="5"/>
      <c r="D358" s="1">
        <v>42776</v>
      </c>
      <c r="E358">
        <v>6377309</v>
      </c>
      <c r="J358">
        <f>E358-B358</f>
        <v>1558133</v>
      </c>
      <c r="K358" t="s">
        <v>436</v>
      </c>
    </row>
    <row r="359" spans="1:12">
      <c r="A359" s="1">
        <v>42552</v>
      </c>
      <c r="B359" s="5">
        <v>375000</v>
      </c>
      <c r="J359">
        <v>-100000</v>
      </c>
      <c r="K359" s="12" t="s">
        <v>437</v>
      </c>
    </row>
    <row r="360" spans="1:12">
      <c r="A360" s="1">
        <v>42783</v>
      </c>
      <c r="B360" s="5">
        <v>765654</v>
      </c>
      <c r="C360">
        <f>B360/10</f>
        <v>76565.399999999994</v>
      </c>
      <c r="D360" s="1">
        <v>42783</v>
      </c>
      <c r="E360">
        <v>779097</v>
      </c>
      <c r="F360" t="s">
        <v>7</v>
      </c>
      <c r="J360">
        <f>E360-B360</f>
        <v>13443</v>
      </c>
      <c r="K360" t="s">
        <v>444</v>
      </c>
      <c r="L360">
        <v>10</v>
      </c>
    </row>
    <row r="361" spans="1:12">
      <c r="A361" s="1">
        <v>42774</v>
      </c>
      <c r="B361" s="5">
        <v>74853</v>
      </c>
      <c r="C361">
        <f>B361/1</f>
        <v>74853</v>
      </c>
      <c r="D361" s="1">
        <v>42786</v>
      </c>
      <c r="E361">
        <v>78696</v>
      </c>
      <c r="F361" t="s">
        <v>7</v>
      </c>
      <c r="J361">
        <f>E361-B361</f>
        <v>3843</v>
      </c>
      <c r="K361" t="s">
        <v>409</v>
      </c>
      <c r="L361">
        <v>1</v>
      </c>
    </row>
    <row r="362" spans="1:12">
      <c r="A362" s="1">
        <v>42772</v>
      </c>
      <c r="B362" s="5">
        <v>90064</v>
      </c>
      <c r="C362">
        <f>B362/1</f>
        <v>90064</v>
      </c>
      <c r="D362" s="1">
        <v>42787</v>
      </c>
      <c r="E362">
        <v>90564</v>
      </c>
      <c r="F362" t="s">
        <v>7</v>
      </c>
      <c r="J362">
        <f>E362-B362</f>
        <v>500</v>
      </c>
      <c r="K362" t="s">
        <v>446</v>
      </c>
      <c r="L362">
        <v>1</v>
      </c>
    </row>
    <row r="363" spans="1:12">
      <c r="A363" s="1">
        <v>42772</v>
      </c>
      <c r="B363" s="5">
        <v>130292</v>
      </c>
      <c r="C363">
        <f>B363/2</f>
        <v>65146</v>
      </c>
      <c r="F363" t="s">
        <v>7</v>
      </c>
      <c r="K363" t="s">
        <v>432</v>
      </c>
      <c r="L363">
        <v>2</v>
      </c>
    </row>
    <row r="364" spans="1:12">
      <c r="A364" s="1">
        <v>42772</v>
      </c>
      <c r="B364" s="5">
        <v>131093</v>
      </c>
      <c r="C364">
        <f>B364/2</f>
        <v>65546.5</v>
      </c>
      <c r="F364" t="s">
        <v>7</v>
      </c>
      <c r="K364" t="s">
        <v>432</v>
      </c>
      <c r="L364">
        <v>2</v>
      </c>
    </row>
    <row r="365" spans="1:12">
      <c r="A365" s="1">
        <v>42779</v>
      </c>
      <c r="B365" s="5">
        <v>64946</v>
      </c>
      <c r="C365">
        <f>B365/1</f>
        <v>64946</v>
      </c>
      <c r="F365" t="s">
        <v>7</v>
      </c>
      <c r="K365" t="s">
        <v>433</v>
      </c>
      <c r="L365">
        <v>1</v>
      </c>
    </row>
    <row r="366" spans="1:12">
      <c r="A366" s="1">
        <v>42779</v>
      </c>
      <c r="B366" s="5">
        <v>193938</v>
      </c>
      <c r="C366">
        <f>B366/3</f>
        <v>64646</v>
      </c>
      <c r="F366" t="s">
        <v>7</v>
      </c>
      <c r="K366" t="s">
        <v>438</v>
      </c>
      <c r="L366">
        <v>3</v>
      </c>
    </row>
    <row r="367" spans="1:12">
      <c r="A367" s="1">
        <v>42780</v>
      </c>
      <c r="B367" s="5">
        <v>389143</v>
      </c>
      <c r="C367">
        <f>B367/6</f>
        <v>64857.166666666664</v>
      </c>
      <c r="F367" t="s">
        <v>7</v>
      </c>
      <c r="K367" t="s">
        <v>441</v>
      </c>
      <c r="L367">
        <v>6</v>
      </c>
    </row>
    <row r="368" spans="1:12">
      <c r="A368" s="1"/>
      <c r="B368" s="5">
        <f>SUM(B363:B367)</f>
        <v>909412</v>
      </c>
      <c r="D368" s="1">
        <v>42787</v>
      </c>
      <c r="E368">
        <v>922563</v>
      </c>
      <c r="J368">
        <f>E368-B368</f>
        <v>13151</v>
      </c>
    </row>
    <row r="369" spans="1:12">
      <c r="A369" s="1">
        <v>42768</v>
      </c>
      <c r="B369" s="5">
        <v>128091</v>
      </c>
      <c r="C369">
        <f>B369/2</f>
        <v>64045.5</v>
      </c>
      <c r="F369" t="s">
        <v>7</v>
      </c>
      <c r="K369" t="s">
        <v>432</v>
      </c>
      <c r="L369">
        <v>2</v>
      </c>
    </row>
    <row r="370" spans="1:12">
      <c r="A370" s="1">
        <v>42769</v>
      </c>
      <c r="B370" s="5">
        <v>64145</v>
      </c>
      <c r="C370">
        <f>B370/1</f>
        <v>64145</v>
      </c>
      <c r="F370" t="s">
        <v>7</v>
      </c>
      <c r="K370" t="s">
        <v>433</v>
      </c>
      <c r="L370">
        <v>1</v>
      </c>
    </row>
    <row r="371" spans="1:12">
      <c r="A371" s="1">
        <v>42779</v>
      </c>
      <c r="B371" s="5">
        <v>191836</v>
      </c>
      <c r="C371">
        <f>B371/3</f>
        <v>63945.333333333336</v>
      </c>
      <c r="F371" t="s">
        <v>7</v>
      </c>
      <c r="K371" t="s">
        <v>438</v>
      </c>
      <c r="L371">
        <v>3</v>
      </c>
    </row>
    <row r="372" spans="1:12">
      <c r="A372" s="1"/>
      <c r="B372" s="5">
        <f>SUM(B369:B371)</f>
        <v>384072</v>
      </c>
      <c r="D372" s="1">
        <v>42788</v>
      </c>
      <c r="E372">
        <v>424945</v>
      </c>
      <c r="J372">
        <f>E372-B372</f>
        <v>40873</v>
      </c>
    </row>
    <row r="373" spans="1:12">
      <c r="A373" s="1">
        <v>42796</v>
      </c>
      <c r="B373" s="5">
        <v>66747</v>
      </c>
      <c r="C373">
        <f>B373/1</f>
        <v>66747</v>
      </c>
      <c r="D373" s="1">
        <v>42800</v>
      </c>
      <c r="E373">
        <v>68247</v>
      </c>
      <c r="F373" t="s">
        <v>7</v>
      </c>
      <c r="J373">
        <f>E373-B373</f>
        <v>1500</v>
      </c>
      <c r="K373" t="s">
        <v>451</v>
      </c>
      <c r="L373">
        <v>1</v>
      </c>
    </row>
    <row r="374" spans="1:12">
      <c r="A374" s="1">
        <v>42789</v>
      </c>
      <c r="B374" s="5">
        <v>138498</v>
      </c>
      <c r="C374">
        <f>B374/2</f>
        <v>69249</v>
      </c>
      <c r="D374" s="1">
        <v>42803</v>
      </c>
      <c r="E374">
        <v>142271</v>
      </c>
      <c r="F374" t="s">
        <v>7</v>
      </c>
      <c r="J374">
        <f>E374-B374</f>
        <v>3773</v>
      </c>
      <c r="K374" t="s">
        <v>450</v>
      </c>
      <c r="L374">
        <v>2</v>
      </c>
    </row>
    <row r="375" spans="1:12">
      <c r="A375" s="1">
        <v>42663</v>
      </c>
      <c r="B375" s="5">
        <v>34624</v>
      </c>
      <c r="C375" s="5">
        <f>B375/1</f>
        <v>34624</v>
      </c>
      <c r="D375" s="1"/>
      <c r="E375" s="5"/>
      <c r="F375" t="s">
        <v>7</v>
      </c>
      <c r="K375" t="s">
        <v>331</v>
      </c>
      <c r="L375">
        <v>1</v>
      </c>
    </row>
    <row r="376" spans="1:12">
      <c r="A376" s="1">
        <v>42746</v>
      </c>
      <c r="B376" s="5">
        <v>34424</v>
      </c>
      <c r="C376" s="5">
        <f>B376/1</f>
        <v>34424</v>
      </c>
      <c r="D376" s="4"/>
      <c r="E376" s="5"/>
      <c r="F376" t="s">
        <v>7</v>
      </c>
      <c r="K376" t="s">
        <v>331</v>
      </c>
      <c r="L376">
        <v>1</v>
      </c>
    </row>
    <row r="377" spans="1:12">
      <c r="A377" s="1">
        <v>42773</v>
      </c>
      <c r="B377" s="5">
        <v>33523</v>
      </c>
      <c r="C377" s="5">
        <f>B377/1</f>
        <v>33523</v>
      </c>
      <c r="D377" s="4"/>
      <c r="E377" s="5"/>
      <c r="F377" t="s">
        <v>7</v>
      </c>
      <c r="K377" t="s">
        <v>331</v>
      </c>
      <c r="L377">
        <v>1</v>
      </c>
    </row>
    <row r="378" spans="1:12">
      <c r="A378" s="1">
        <v>42807</v>
      </c>
      <c r="B378" s="5">
        <v>34580</v>
      </c>
      <c r="C378" s="5">
        <f>B378/1</f>
        <v>34580</v>
      </c>
      <c r="D378" s="4"/>
      <c r="E378" s="5"/>
      <c r="F378" t="s">
        <v>7</v>
      </c>
      <c r="K378" t="s">
        <v>331</v>
      </c>
      <c r="L378">
        <v>1</v>
      </c>
    </row>
    <row r="379" spans="1:12">
      <c r="A379" s="1">
        <v>42241</v>
      </c>
      <c r="B379" s="5">
        <v>65856</v>
      </c>
      <c r="C379" s="5">
        <f>B379/2</f>
        <v>32928</v>
      </c>
      <c r="D379" s="4"/>
      <c r="E379" s="5"/>
      <c r="F379" t="s">
        <v>7</v>
      </c>
      <c r="K379" t="s">
        <v>341</v>
      </c>
      <c r="L379">
        <v>2</v>
      </c>
    </row>
    <row r="380" spans="1:12">
      <c r="A380" s="1">
        <v>42249</v>
      </c>
      <c r="B380" s="5">
        <v>135315</v>
      </c>
      <c r="C380" s="5">
        <f>B380/4</f>
        <v>33828.75</v>
      </c>
      <c r="D380" s="4"/>
      <c r="E380" s="5"/>
      <c r="F380" t="s">
        <v>7</v>
      </c>
      <c r="K380" t="s">
        <v>348</v>
      </c>
      <c r="L380">
        <v>4</v>
      </c>
    </row>
    <row r="381" spans="1:12">
      <c r="A381" s="1"/>
      <c r="B381" s="5"/>
      <c r="C381" s="5"/>
      <c r="D381" s="4">
        <v>42808</v>
      </c>
      <c r="E381" s="5">
        <v>174072</v>
      </c>
    </row>
    <row r="382" spans="1:12">
      <c r="A382" s="1"/>
      <c r="B382" s="5"/>
      <c r="C382" s="5"/>
      <c r="D382" s="4">
        <v>42808</v>
      </c>
      <c r="E382" s="5">
        <v>139282</v>
      </c>
    </row>
    <row r="383" spans="1:12">
      <c r="A383" s="1"/>
      <c r="B383" s="5"/>
      <c r="C383" s="5"/>
      <c r="D383" s="4">
        <v>42808</v>
      </c>
      <c r="E383" s="5">
        <v>34817</v>
      </c>
    </row>
    <row r="384" spans="1:12">
      <c r="A384" s="1"/>
      <c r="B384" s="5">
        <f>SUM(B375:B380)</f>
        <v>338322</v>
      </c>
      <c r="C384" s="5"/>
      <c r="D384" s="4">
        <v>42808</v>
      </c>
      <c r="E384" s="5">
        <f>SUM(E381:E383)</f>
        <v>348171</v>
      </c>
      <c r="J384">
        <f>E384-B384</f>
        <v>9849</v>
      </c>
    </row>
    <row r="385" spans="1:12">
      <c r="A385" s="1">
        <v>42808</v>
      </c>
      <c r="B385" s="5">
        <v>282649</v>
      </c>
      <c r="C385">
        <f>B385/4</f>
        <v>70662.25</v>
      </c>
      <c r="D385" s="4">
        <v>42809</v>
      </c>
      <c r="E385" s="5">
        <v>287679</v>
      </c>
      <c r="F385" t="s">
        <v>7</v>
      </c>
      <c r="J385">
        <f>E385-B385</f>
        <v>5030</v>
      </c>
      <c r="K385" t="s">
        <v>456</v>
      </c>
      <c r="L385">
        <v>4</v>
      </c>
    </row>
    <row r="386" spans="1:12">
      <c r="A386" s="1">
        <v>42657</v>
      </c>
      <c r="B386" s="5">
        <v>35125</v>
      </c>
      <c r="C386" s="5">
        <f>B386/1</f>
        <v>35125</v>
      </c>
      <c r="D386" s="4">
        <v>42810</v>
      </c>
      <c r="E386" s="5">
        <v>36167</v>
      </c>
      <c r="F386" t="s">
        <v>7</v>
      </c>
      <c r="J386">
        <f>E386-B386</f>
        <v>1042</v>
      </c>
      <c r="K386" t="s">
        <v>331</v>
      </c>
      <c r="L386">
        <v>1</v>
      </c>
    </row>
    <row r="387" spans="1:12">
      <c r="A387" s="1">
        <v>42811</v>
      </c>
      <c r="B387" s="5">
        <v>141901</v>
      </c>
      <c r="C387">
        <f>B387/2</f>
        <v>70950.5</v>
      </c>
      <c r="D387" s="1">
        <v>42811</v>
      </c>
      <c r="E387" s="5">
        <v>142470</v>
      </c>
      <c r="F387" t="s">
        <v>7</v>
      </c>
      <c r="J387">
        <f>E387-B387</f>
        <v>569</v>
      </c>
      <c r="K387" t="s">
        <v>457</v>
      </c>
      <c r="L387">
        <v>2</v>
      </c>
    </row>
    <row r="388" spans="1:12">
      <c r="A388" s="1">
        <v>42200</v>
      </c>
      <c r="B388">
        <v>4302</v>
      </c>
      <c r="C388" s="5">
        <f>B388/0.054</f>
        <v>79666.666666666672</v>
      </c>
      <c r="D388" s="1"/>
      <c r="F388" t="s">
        <v>7</v>
      </c>
      <c r="K388" t="s">
        <v>346</v>
      </c>
      <c r="L388">
        <v>5.3999999999999999E-2</v>
      </c>
    </row>
    <row r="389" spans="1:12">
      <c r="A389" s="1">
        <v>42235</v>
      </c>
      <c r="B389" s="5">
        <v>0</v>
      </c>
      <c r="C389" s="5"/>
      <c r="D389" s="4"/>
      <c r="E389" s="5"/>
      <c r="K389" t="s">
        <v>353</v>
      </c>
      <c r="L389">
        <v>0.3</v>
      </c>
    </row>
    <row r="390" spans="1:12">
      <c r="A390" s="1">
        <v>42611</v>
      </c>
      <c r="B390" s="5">
        <v>0</v>
      </c>
      <c r="C390" s="5"/>
      <c r="D390" s="4"/>
      <c r="E390" s="5"/>
      <c r="K390" t="s">
        <v>412</v>
      </c>
      <c r="L390">
        <v>1E-3</v>
      </c>
    </row>
    <row r="391" spans="1:12">
      <c r="A391" s="1">
        <v>42611</v>
      </c>
      <c r="B391" s="5">
        <v>0</v>
      </c>
      <c r="C391" s="5"/>
      <c r="D391" s="4"/>
      <c r="E391" s="5"/>
      <c r="K391" t="s">
        <v>413</v>
      </c>
      <c r="L391">
        <v>0.68</v>
      </c>
    </row>
    <row r="392" spans="1:12">
      <c r="A392" s="1">
        <v>42611</v>
      </c>
      <c r="B392" s="5">
        <v>0</v>
      </c>
      <c r="C392" s="5"/>
      <c r="D392" s="4"/>
      <c r="E392" s="5"/>
      <c r="K392" t="s">
        <v>414</v>
      </c>
      <c r="L392">
        <v>0.22600000000000001</v>
      </c>
    </row>
    <row r="393" spans="1:12">
      <c r="A393" s="1">
        <v>42170</v>
      </c>
      <c r="B393" s="5">
        <v>37732</v>
      </c>
      <c r="C393" s="5">
        <f>B393/1</f>
        <v>37732</v>
      </c>
      <c r="D393" s="4"/>
      <c r="E393" s="5"/>
      <c r="F393" t="s">
        <v>7</v>
      </c>
      <c r="K393" t="s">
        <v>331</v>
      </c>
      <c r="L393">
        <v>1</v>
      </c>
    </row>
    <row r="394" spans="1:12">
      <c r="A394" s="1">
        <v>42170</v>
      </c>
      <c r="B394" s="5">
        <v>76965</v>
      </c>
      <c r="C394" s="5">
        <f>B394/2</f>
        <v>38482.5</v>
      </c>
      <c r="D394" s="4"/>
      <c r="E394" s="5"/>
      <c r="F394" t="s">
        <v>7</v>
      </c>
      <c r="K394" t="s">
        <v>341</v>
      </c>
      <c r="L394">
        <v>2</v>
      </c>
    </row>
    <row r="395" spans="1:12">
      <c r="A395" s="1">
        <v>42312</v>
      </c>
      <c r="B395" s="5">
        <v>168119</v>
      </c>
      <c r="C395" s="5">
        <f>B395/4</f>
        <v>42029.75</v>
      </c>
      <c r="D395" s="4"/>
      <c r="E395" s="5"/>
      <c r="F395" t="s">
        <v>7</v>
      </c>
      <c r="K395" t="s">
        <v>348</v>
      </c>
      <c r="L395">
        <v>4</v>
      </c>
    </row>
    <row r="396" spans="1:12">
      <c r="A396" s="1">
        <v>42314</v>
      </c>
      <c r="B396" s="5">
        <v>39728</v>
      </c>
      <c r="C396" s="5">
        <f>B396/1</f>
        <v>39728</v>
      </c>
      <c r="D396" s="4"/>
      <c r="E396" s="5"/>
      <c r="F396" t="s">
        <v>7</v>
      </c>
      <c r="K396" t="s">
        <v>331</v>
      </c>
      <c r="L396">
        <v>1</v>
      </c>
    </row>
    <row r="397" spans="1:12">
      <c r="A397" s="1">
        <v>42314</v>
      </c>
      <c r="B397" s="5">
        <v>117833</v>
      </c>
      <c r="C397" s="5">
        <f>B397/3</f>
        <v>39277.666666666664</v>
      </c>
      <c r="D397" s="4"/>
      <c r="E397" s="5"/>
      <c r="F397" t="s">
        <v>7</v>
      </c>
      <c r="K397" t="s">
        <v>357</v>
      </c>
      <c r="L397">
        <v>3</v>
      </c>
    </row>
    <row r="398" spans="1:12">
      <c r="A398" s="1">
        <v>42325</v>
      </c>
      <c r="B398" s="5">
        <v>76454</v>
      </c>
      <c r="C398" s="5">
        <f>B398/2</f>
        <v>38227</v>
      </c>
      <c r="D398" s="4"/>
      <c r="E398" s="5"/>
      <c r="F398" t="s">
        <v>7</v>
      </c>
      <c r="K398" t="s">
        <v>341</v>
      </c>
      <c r="L398">
        <v>2</v>
      </c>
    </row>
    <row r="399" spans="1:12">
      <c r="A399" s="1">
        <v>42325</v>
      </c>
      <c r="B399" s="5">
        <v>38377</v>
      </c>
      <c r="C399" s="5">
        <f>B399/1</f>
        <v>38377</v>
      </c>
      <c r="D399" s="4"/>
      <c r="E399" s="5"/>
      <c r="F399" t="s">
        <v>7</v>
      </c>
      <c r="K399" t="s">
        <v>331</v>
      </c>
      <c r="L399">
        <v>1</v>
      </c>
    </row>
    <row r="400" spans="1:12">
      <c r="A400" s="1">
        <v>42418</v>
      </c>
      <c r="B400" s="5">
        <v>37131</v>
      </c>
      <c r="C400" s="5">
        <f>B400/1</f>
        <v>37131</v>
      </c>
      <c r="D400" s="4"/>
      <c r="E400" s="5"/>
      <c r="F400" t="s">
        <v>7</v>
      </c>
      <c r="K400" t="s">
        <v>331</v>
      </c>
      <c r="L400">
        <v>1</v>
      </c>
    </row>
    <row r="401" spans="1:12">
      <c r="A401" s="1">
        <v>42502</v>
      </c>
      <c r="B401" s="5">
        <v>2559</v>
      </c>
      <c r="C401" s="5">
        <f>B401/0.06</f>
        <v>42650</v>
      </c>
      <c r="D401" s="4"/>
      <c r="E401" s="5"/>
      <c r="F401" t="s">
        <v>7</v>
      </c>
      <c r="K401" t="s">
        <v>399</v>
      </c>
      <c r="L401">
        <v>0.06</v>
      </c>
    </row>
    <row r="402" spans="1:12">
      <c r="A402" s="1">
        <v>42503</v>
      </c>
      <c r="B402" s="5">
        <v>41884</v>
      </c>
      <c r="C402" s="5">
        <f>B402/1</f>
        <v>41884</v>
      </c>
      <c r="D402" s="4"/>
      <c r="E402" s="5"/>
      <c r="F402" t="s">
        <v>7</v>
      </c>
      <c r="K402" t="s">
        <v>331</v>
      </c>
      <c r="L402">
        <v>1</v>
      </c>
    </row>
    <row r="403" spans="1:12">
      <c r="A403" s="1">
        <v>42549</v>
      </c>
      <c r="B403" s="5">
        <v>420359</v>
      </c>
      <c r="C403" s="5">
        <f>B403/10</f>
        <v>42035.9</v>
      </c>
      <c r="D403" s="4"/>
      <c r="E403" s="5"/>
      <c r="F403" t="s">
        <v>7</v>
      </c>
      <c r="K403" t="s">
        <v>362</v>
      </c>
      <c r="L403">
        <v>10</v>
      </c>
    </row>
    <row r="404" spans="1:12">
      <c r="A404" s="1">
        <v>42549</v>
      </c>
      <c r="B404" s="5">
        <v>83871</v>
      </c>
      <c r="C404" s="5">
        <f>B404/2</f>
        <v>41935.5</v>
      </c>
      <c r="D404" s="4"/>
      <c r="E404" s="5"/>
      <c r="F404" t="s">
        <v>7</v>
      </c>
      <c r="K404" t="s">
        <v>341</v>
      </c>
      <c r="L404">
        <v>2</v>
      </c>
    </row>
    <row r="405" spans="1:12">
      <c r="A405" s="1">
        <v>42657</v>
      </c>
      <c r="B405" s="5">
        <v>35125</v>
      </c>
      <c r="C405" s="5">
        <f>B405/1</f>
        <v>35125</v>
      </c>
      <c r="D405" s="4"/>
      <c r="E405" s="5"/>
      <c r="F405" t="s">
        <v>7</v>
      </c>
      <c r="K405" t="s">
        <v>331</v>
      </c>
      <c r="L405">
        <v>1</v>
      </c>
    </row>
    <row r="406" spans="1:12">
      <c r="A406" s="1">
        <v>42745</v>
      </c>
      <c r="B406" s="5">
        <v>15659</v>
      </c>
      <c r="C406" s="5">
        <f>B406/0.452</f>
        <v>34643.805309734511</v>
      </c>
      <c r="D406" s="4"/>
      <c r="E406" s="5"/>
      <c r="F406" t="s">
        <v>7</v>
      </c>
      <c r="K406" t="s">
        <v>428</v>
      </c>
      <c r="L406">
        <v>0.45200000000000001</v>
      </c>
    </row>
    <row r="407" spans="1:12">
      <c r="A407" s="1">
        <v>42746</v>
      </c>
      <c r="B407" s="5">
        <v>8562</v>
      </c>
      <c r="C407" s="5">
        <f>B407/0.248</f>
        <v>34524.193548387098</v>
      </c>
      <c r="D407" s="4"/>
      <c r="E407" s="5"/>
      <c r="F407" t="s">
        <v>7</v>
      </c>
      <c r="K407" t="s">
        <v>428</v>
      </c>
      <c r="L407">
        <v>0.248</v>
      </c>
    </row>
    <row r="408" spans="1:12">
      <c r="A408" s="1" t="s">
        <v>452</v>
      </c>
      <c r="B408" s="5">
        <f>SUM(B393:B407)</f>
        <v>1200358</v>
      </c>
      <c r="C408" s="5">
        <f>36.2*SUM(L389:L407)*1000</f>
        <v>1121005.4000000001</v>
      </c>
      <c r="D408" s="4"/>
      <c r="E408" s="5"/>
      <c r="J408">
        <f>C408-B408</f>
        <v>-79352.59999999986</v>
      </c>
    </row>
    <row r="409" spans="1:12">
      <c r="A409" s="1">
        <v>42550</v>
      </c>
      <c r="B409" s="5">
        <v>1843974</v>
      </c>
      <c r="C409">
        <f>B409/19</f>
        <v>97051.263157894733</v>
      </c>
      <c r="F409" t="s">
        <v>7</v>
      </c>
      <c r="K409" t="s">
        <v>406</v>
      </c>
      <c r="L409">
        <v>19</v>
      </c>
    </row>
    <row r="410" spans="1:12">
      <c r="A410" s="1">
        <v>42580</v>
      </c>
      <c r="B410" s="5">
        <v>435207</v>
      </c>
      <c r="C410">
        <f>B410/5</f>
        <v>87041.4</v>
      </c>
      <c r="F410" t="s">
        <v>7</v>
      </c>
      <c r="K410" t="s">
        <v>407</v>
      </c>
      <c r="L410">
        <v>5</v>
      </c>
    </row>
    <row r="411" spans="1:12">
      <c r="A411" s="1">
        <v>42580</v>
      </c>
      <c r="B411" s="5">
        <v>85961</v>
      </c>
      <c r="C411">
        <f>B411/1</f>
        <v>85961</v>
      </c>
      <c r="F411" t="s">
        <v>7</v>
      </c>
      <c r="K411" t="s">
        <v>409</v>
      </c>
      <c r="L411">
        <v>1</v>
      </c>
    </row>
    <row r="412" spans="1:12">
      <c r="A412" s="1">
        <v>42600</v>
      </c>
      <c r="B412" s="5">
        <v>85060</v>
      </c>
      <c r="C412">
        <f>B412/1</f>
        <v>85060</v>
      </c>
      <c r="F412" t="s">
        <v>7</v>
      </c>
      <c r="K412" t="s">
        <v>409</v>
      </c>
      <c r="L412">
        <v>1</v>
      </c>
    </row>
    <row r="413" spans="1:12">
      <c r="A413" s="1">
        <v>42639</v>
      </c>
      <c r="B413" s="5">
        <v>88462</v>
      </c>
      <c r="C413">
        <f>B413/1</f>
        <v>88462</v>
      </c>
      <c r="F413" t="s">
        <v>7</v>
      </c>
      <c r="K413" t="s">
        <v>409</v>
      </c>
      <c r="L413">
        <v>1</v>
      </c>
    </row>
    <row r="414" spans="1:12">
      <c r="A414" s="1">
        <v>42646</v>
      </c>
      <c r="B414" s="5">
        <v>88763</v>
      </c>
      <c r="C414">
        <f>B414/1</f>
        <v>88763</v>
      </c>
      <c r="F414" t="s">
        <v>7</v>
      </c>
      <c r="K414" t="s">
        <v>409</v>
      </c>
      <c r="L414">
        <v>1</v>
      </c>
    </row>
    <row r="415" spans="1:12">
      <c r="A415" s="1" t="s">
        <v>453</v>
      </c>
      <c r="B415" s="5">
        <f>SUM(B409:B414)</f>
        <v>2627427</v>
      </c>
      <c r="C415">
        <f>77.5*SUM(L409:L414)*1000</f>
        <v>2170000</v>
      </c>
      <c r="J415">
        <f>C415-B415</f>
        <v>-457427</v>
      </c>
    </row>
    <row r="416" spans="1:12">
      <c r="A416" s="1">
        <v>42772</v>
      </c>
      <c r="B416" s="5">
        <v>2611859</v>
      </c>
      <c r="C416">
        <f>B416/29</f>
        <v>90064.103448275855</v>
      </c>
      <c r="F416" t="s">
        <v>7</v>
      </c>
      <c r="K416" t="s">
        <v>447</v>
      </c>
      <c r="L416">
        <v>29</v>
      </c>
    </row>
    <row r="417" spans="1:12">
      <c r="A417" s="1">
        <v>42780</v>
      </c>
      <c r="B417" s="5">
        <v>179558</v>
      </c>
      <c r="C417">
        <f>B417/2</f>
        <v>89779</v>
      </c>
      <c r="F417" t="s">
        <v>7</v>
      </c>
      <c r="K417" t="s">
        <v>440</v>
      </c>
      <c r="L417">
        <v>2</v>
      </c>
    </row>
    <row r="418" spans="1:12">
      <c r="A418" s="1">
        <v>42780</v>
      </c>
      <c r="B418" s="5">
        <v>268737</v>
      </c>
      <c r="C418">
        <f>B418/3</f>
        <v>89579</v>
      </c>
      <c r="F418" t="s">
        <v>7</v>
      </c>
      <c r="K418" t="s">
        <v>442</v>
      </c>
      <c r="L418">
        <v>3</v>
      </c>
    </row>
    <row r="419" spans="1:12">
      <c r="A419" s="1">
        <v>42780</v>
      </c>
      <c r="B419" s="5">
        <v>448395</v>
      </c>
      <c r="C419">
        <f>B419/5</f>
        <v>89679</v>
      </c>
      <c r="F419" t="s">
        <v>7</v>
      </c>
      <c r="K419" t="s">
        <v>443</v>
      </c>
      <c r="L419">
        <v>5</v>
      </c>
    </row>
    <row r="420" spans="1:12">
      <c r="A420" s="1">
        <v>42780</v>
      </c>
      <c r="B420" s="5">
        <v>269337</v>
      </c>
      <c r="C420">
        <f>B420/3</f>
        <v>89779</v>
      </c>
      <c r="F420" t="s">
        <v>7</v>
      </c>
      <c r="K420" t="s">
        <v>442</v>
      </c>
      <c r="L420">
        <v>3</v>
      </c>
    </row>
    <row r="421" spans="1:12">
      <c r="A421" s="1">
        <v>42803</v>
      </c>
      <c r="B421" s="5">
        <v>93382</v>
      </c>
      <c r="C421">
        <f>B421/1</f>
        <v>93382</v>
      </c>
      <c r="F421" t="s">
        <v>7</v>
      </c>
      <c r="K421" t="s">
        <v>446</v>
      </c>
      <c r="L421">
        <v>1</v>
      </c>
    </row>
    <row r="422" spans="1:12">
      <c r="A422" s="1">
        <v>42809</v>
      </c>
      <c r="B422" s="5">
        <v>92281</v>
      </c>
      <c r="C422">
        <f>B422/1</f>
        <v>92281</v>
      </c>
      <c r="F422" t="s">
        <v>7</v>
      </c>
      <c r="K422" t="s">
        <v>446</v>
      </c>
      <c r="L422">
        <v>1</v>
      </c>
    </row>
    <row r="423" spans="1:12">
      <c r="A423" s="1">
        <v>42810</v>
      </c>
      <c r="B423" s="5">
        <v>281348</v>
      </c>
      <c r="C423">
        <f>B423/3</f>
        <v>93782.666666666672</v>
      </c>
      <c r="F423" t="s">
        <v>7</v>
      </c>
      <c r="K423" t="s">
        <v>442</v>
      </c>
      <c r="L423">
        <v>3</v>
      </c>
    </row>
    <row r="424" spans="1:12">
      <c r="A424" s="1" t="s">
        <v>454</v>
      </c>
      <c r="B424" s="5">
        <f>SUM(B416:B423)</f>
        <v>4244897</v>
      </c>
      <c r="C424">
        <f>93.2*SUM(L416:L423)*1000</f>
        <v>4380400.0000000009</v>
      </c>
      <c r="J424">
        <f>C424-B424</f>
        <v>135503.00000000093</v>
      </c>
    </row>
    <row r="425" spans="1:12">
      <c r="A425" s="1">
        <v>42784</v>
      </c>
      <c r="B425" s="5">
        <v>1509074</v>
      </c>
      <c r="C425">
        <f>B425/20</f>
        <v>75453.7</v>
      </c>
      <c r="F425" t="s">
        <v>7</v>
      </c>
      <c r="K425" t="s">
        <v>445</v>
      </c>
      <c r="L425">
        <v>20</v>
      </c>
    </row>
    <row r="426" spans="1:12">
      <c r="A426" s="1">
        <v>42786</v>
      </c>
      <c r="B426" s="5">
        <v>75052</v>
      </c>
      <c r="C426">
        <f>B426/1</f>
        <v>75052</v>
      </c>
      <c r="F426" t="s">
        <v>7</v>
      </c>
      <c r="K426" t="s">
        <v>448</v>
      </c>
      <c r="L426">
        <v>1</v>
      </c>
    </row>
    <row r="427" spans="1:12">
      <c r="A427" s="1">
        <v>42787</v>
      </c>
      <c r="B427" s="5">
        <v>74252</v>
      </c>
      <c r="C427">
        <f>B427/1</f>
        <v>74252</v>
      </c>
      <c r="F427" t="s">
        <v>7</v>
      </c>
      <c r="K427" t="s">
        <v>448</v>
      </c>
      <c r="L427">
        <v>1</v>
      </c>
    </row>
    <row r="428" spans="1:12">
      <c r="A428" s="1">
        <v>42787</v>
      </c>
      <c r="B428" s="5">
        <v>882628</v>
      </c>
      <c r="C428">
        <f>B428/12</f>
        <v>73552.333333333328</v>
      </c>
      <c r="F428" t="s">
        <v>7</v>
      </c>
      <c r="K428" t="s">
        <v>449</v>
      </c>
      <c r="L428">
        <v>12</v>
      </c>
    </row>
    <row r="429" spans="1:12">
      <c r="A429" s="1">
        <v>42789</v>
      </c>
      <c r="B429" s="5">
        <v>445593</v>
      </c>
      <c r="C429">
        <f>B429/6</f>
        <v>74265.5</v>
      </c>
      <c r="F429" t="s">
        <v>7</v>
      </c>
      <c r="K429" t="s">
        <v>449</v>
      </c>
      <c r="L429">
        <v>6</v>
      </c>
    </row>
    <row r="430" spans="1:12">
      <c r="A430" s="1">
        <v>42800</v>
      </c>
      <c r="B430" s="5">
        <v>74052</v>
      </c>
      <c r="C430">
        <f>B430/1</f>
        <v>74052</v>
      </c>
      <c r="F430" t="s">
        <v>7</v>
      </c>
      <c r="K430" t="s">
        <v>448</v>
      </c>
      <c r="L430">
        <v>1</v>
      </c>
    </row>
    <row r="431" spans="1:12">
      <c r="A431" s="1" t="s">
        <v>455</v>
      </c>
      <c r="B431" s="5">
        <f>SUM(B425:B430)</f>
        <v>3060651</v>
      </c>
      <c r="C431">
        <f>76.4*SUM(L425:L430)*1000</f>
        <v>3132400</v>
      </c>
      <c r="J431">
        <f>C431-B431</f>
        <v>71749</v>
      </c>
    </row>
    <row r="432" spans="1:12">
      <c r="A432" s="1"/>
      <c r="B432" s="5"/>
    </row>
    <row r="434" spans="1:11">
      <c r="A434" s="1">
        <v>41177</v>
      </c>
      <c r="B434">
        <v>254.9</v>
      </c>
      <c r="D434" s="1">
        <v>41200</v>
      </c>
      <c r="E434">
        <v>259.39999999999998</v>
      </c>
      <c r="F434" t="s">
        <v>141</v>
      </c>
      <c r="H434">
        <v>22800</v>
      </c>
      <c r="K434" s="5" t="s">
        <v>142</v>
      </c>
    </row>
    <row r="435" spans="1:11">
      <c r="A435" s="1">
        <v>41222</v>
      </c>
      <c r="B435">
        <v>250</v>
      </c>
      <c r="D435" s="1">
        <v>41227</v>
      </c>
      <c r="E435">
        <v>244.9</v>
      </c>
      <c r="F435" t="s">
        <v>133</v>
      </c>
      <c r="H435">
        <v>23900</v>
      </c>
      <c r="K435" s="5" t="s">
        <v>143</v>
      </c>
    </row>
    <row r="436" spans="1:11">
      <c r="A436" s="1">
        <v>41241</v>
      </c>
      <c r="B436">
        <v>257.2</v>
      </c>
      <c r="D436" s="1">
        <v>41247</v>
      </c>
      <c r="E436">
        <v>263</v>
      </c>
      <c r="F436" t="s">
        <v>141</v>
      </c>
      <c r="H436">
        <v>27400</v>
      </c>
      <c r="J436">
        <v>25935</v>
      </c>
      <c r="K436" s="5" t="s">
        <v>153</v>
      </c>
    </row>
    <row r="437" spans="1:11">
      <c r="A437" s="1">
        <v>41306</v>
      </c>
      <c r="B437">
        <v>315.89999999999998</v>
      </c>
      <c r="D437" s="1">
        <v>41309</v>
      </c>
      <c r="E437">
        <v>335</v>
      </c>
      <c r="F437" t="s">
        <v>7</v>
      </c>
      <c r="H437">
        <v>93700</v>
      </c>
    </row>
    <row r="438" spans="1:11">
      <c r="A438" s="1">
        <v>41311</v>
      </c>
      <c r="B438">
        <v>336.6</v>
      </c>
      <c r="D438" s="1">
        <v>41316</v>
      </c>
      <c r="E438">
        <v>325.2</v>
      </c>
      <c r="F438" t="s">
        <v>7</v>
      </c>
      <c r="H438">
        <v>-58800</v>
      </c>
    </row>
    <row r="439" spans="1:11">
      <c r="A439" s="1">
        <v>41313</v>
      </c>
      <c r="B439">
        <v>80500</v>
      </c>
      <c r="D439" s="1">
        <v>41313</v>
      </c>
      <c r="E439">
        <v>80390</v>
      </c>
      <c r="F439" t="s">
        <v>150</v>
      </c>
      <c r="H439">
        <v>3700</v>
      </c>
    </row>
    <row r="440" spans="1:11">
      <c r="A440" s="1">
        <v>41318</v>
      </c>
      <c r="B440">
        <v>81260</v>
      </c>
      <c r="D440" s="1">
        <v>41318</v>
      </c>
      <c r="E440">
        <v>81160</v>
      </c>
      <c r="F440" t="s">
        <v>7</v>
      </c>
      <c r="H440">
        <v>-6800</v>
      </c>
    </row>
    <row r="441" spans="1:11">
      <c r="A441" s="1">
        <v>41332</v>
      </c>
      <c r="B441">
        <v>78490</v>
      </c>
      <c r="D441" s="1">
        <v>41332</v>
      </c>
      <c r="E441">
        <v>78810</v>
      </c>
      <c r="F441" t="s">
        <v>150</v>
      </c>
      <c r="H441">
        <v>-17800</v>
      </c>
    </row>
    <row r="442" spans="1:11">
      <c r="A442" s="1">
        <v>41346</v>
      </c>
      <c r="B442">
        <v>78840</v>
      </c>
      <c r="D442" s="1">
        <v>41346</v>
      </c>
      <c r="E442">
        <v>78940</v>
      </c>
      <c r="F442" t="s">
        <v>7</v>
      </c>
      <c r="H442">
        <v>3200</v>
      </c>
    </row>
    <row r="443" spans="1:11">
      <c r="A443" s="1">
        <v>41347</v>
      </c>
      <c r="B443">
        <v>77310</v>
      </c>
      <c r="D443" s="1">
        <v>41347</v>
      </c>
      <c r="E443">
        <v>77500</v>
      </c>
      <c r="F443" t="s">
        <v>150</v>
      </c>
      <c r="H443">
        <v>-11300</v>
      </c>
    </row>
    <row r="444" spans="1:11">
      <c r="A444" s="1">
        <v>41403</v>
      </c>
      <c r="B444">
        <v>275</v>
      </c>
      <c r="D444" s="1">
        <v>41407</v>
      </c>
      <c r="E444">
        <v>295.8</v>
      </c>
      <c r="F444" t="s">
        <v>7</v>
      </c>
      <c r="H444">
        <v>102200</v>
      </c>
    </row>
    <row r="445" spans="1:11">
      <c r="A445" s="1">
        <v>41411</v>
      </c>
      <c r="B445">
        <v>278</v>
      </c>
      <c r="D445" s="1">
        <v>41411</v>
      </c>
      <c r="E445">
        <v>280</v>
      </c>
      <c r="F445" t="s">
        <v>7</v>
      </c>
      <c r="H445">
        <v>8200</v>
      </c>
    </row>
    <row r="446" spans="1:11">
      <c r="A446" s="1">
        <v>41417</v>
      </c>
      <c r="B446">
        <v>16000</v>
      </c>
      <c r="D446" s="1">
        <v>41417</v>
      </c>
      <c r="E446">
        <v>15700</v>
      </c>
      <c r="F446" t="s">
        <v>7</v>
      </c>
      <c r="H446">
        <v>-31000</v>
      </c>
    </row>
    <row r="447" spans="1:11">
      <c r="A447" s="1">
        <v>41417</v>
      </c>
      <c r="B447">
        <v>15970</v>
      </c>
      <c r="D447" s="1">
        <v>41417</v>
      </c>
      <c r="E447">
        <v>15675</v>
      </c>
      <c r="F447" t="s">
        <v>7</v>
      </c>
      <c r="H447">
        <v>-30500</v>
      </c>
    </row>
    <row r="448" spans="1:11">
      <c r="A448" s="1">
        <v>41446</v>
      </c>
      <c r="B448">
        <v>71660</v>
      </c>
      <c r="D448" s="1">
        <v>41449</v>
      </c>
      <c r="E448">
        <v>71050</v>
      </c>
      <c r="F448" t="s">
        <v>70</v>
      </c>
      <c r="H448">
        <v>28700</v>
      </c>
    </row>
    <row r="449" spans="1:8">
      <c r="A449" s="1">
        <v>41473</v>
      </c>
      <c r="B449">
        <v>243</v>
      </c>
      <c r="D449" s="1">
        <v>41474</v>
      </c>
      <c r="E449">
        <v>253.1</v>
      </c>
      <c r="F449" t="s">
        <v>7</v>
      </c>
      <c r="H449">
        <v>48700</v>
      </c>
    </row>
    <row r="450" spans="1:8">
      <c r="A450" s="1">
        <v>41485</v>
      </c>
      <c r="B450">
        <v>74000</v>
      </c>
      <c r="D450" s="1">
        <v>41486</v>
      </c>
      <c r="E450">
        <v>73650</v>
      </c>
      <c r="F450" t="s">
        <v>7</v>
      </c>
      <c r="H450">
        <v>-19300</v>
      </c>
    </row>
    <row r="451" spans="1:8">
      <c r="A451" s="1">
        <v>41486</v>
      </c>
      <c r="B451">
        <v>73900</v>
      </c>
      <c r="D451" s="1">
        <v>41486</v>
      </c>
      <c r="E451">
        <v>73750</v>
      </c>
      <c r="F451" t="s">
        <v>70</v>
      </c>
      <c r="H451">
        <v>5700</v>
      </c>
    </row>
    <row r="452" spans="1:8">
      <c r="A452" s="1">
        <v>41486</v>
      </c>
      <c r="B452">
        <v>240.5</v>
      </c>
      <c r="D452" s="1">
        <v>41486</v>
      </c>
      <c r="E452">
        <v>243.5</v>
      </c>
      <c r="F452" t="s">
        <v>179</v>
      </c>
      <c r="H452">
        <v>-16800</v>
      </c>
    </row>
    <row r="453" spans="1:8">
      <c r="A453" s="1">
        <v>41487</v>
      </c>
      <c r="B453">
        <v>242.8</v>
      </c>
      <c r="D453" s="1">
        <v>41488</v>
      </c>
      <c r="E453">
        <v>249</v>
      </c>
      <c r="F453" t="s">
        <v>179</v>
      </c>
      <c r="H453">
        <v>-32800</v>
      </c>
    </row>
    <row r="454" spans="1:8">
      <c r="A454" s="1">
        <v>41488</v>
      </c>
      <c r="B454">
        <v>75340</v>
      </c>
      <c r="D454" s="1">
        <v>41488</v>
      </c>
      <c r="E454">
        <v>74860</v>
      </c>
      <c r="F454" t="s">
        <v>174</v>
      </c>
      <c r="H454">
        <v>22200</v>
      </c>
    </row>
    <row r="455" spans="1:8">
      <c r="A455" s="1">
        <v>41502</v>
      </c>
      <c r="B455">
        <v>263</v>
      </c>
      <c r="D455" s="1">
        <v>41502</v>
      </c>
      <c r="E455">
        <v>268</v>
      </c>
      <c r="F455" t="s">
        <v>179</v>
      </c>
      <c r="H455">
        <v>-26800</v>
      </c>
    </row>
    <row r="456" spans="1:8">
      <c r="A456" s="1">
        <v>41507</v>
      </c>
      <c r="B456">
        <v>73900</v>
      </c>
      <c r="D456" s="1">
        <v>41507</v>
      </c>
      <c r="E456">
        <v>74040</v>
      </c>
      <c r="F456" t="s">
        <v>174</v>
      </c>
      <c r="H456">
        <v>5200</v>
      </c>
    </row>
    <row r="457" spans="1:8">
      <c r="A457" s="1">
        <v>41516</v>
      </c>
      <c r="B457">
        <v>270</v>
      </c>
      <c r="D457" s="1">
        <v>41519</v>
      </c>
      <c r="E457">
        <v>273</v>
      </c>
      <c r="F457" t="s">
        <v>174</v>
      </c>
      <c r="H457">
        <v>13200</v>
      </c>
    </row>
    <row r="458" spans="1:8">
      <c r="A458" s="1">
        <v>41528</v>
      </c>
      <c r="B458">
        <v>76980</v>
      </c>
      <c r="D458" s="1">
        <v>41528</v>
      </c>
      <c r="E458">
        <v>76790</v>
      </c>
      <c r="F458" t="s">
        <v>33</v>
      </c>
      <c r="H458">
        <v>-11300</v>
      </c>
    </row>
    <row r="459" spans="1:8">
      <c r="A459" s="1">
        <v>41528</v>
      </c>
      <c r="B459">
        <v>76960</v>
      </c>
      <c r="D459" s="1">
        <v>41528</v>
      </c>
      <c r="E459">
        <v>76990</v>
      </c>
      <c r="F459" t="s">
        <v>33</v>
      </c>
      <c r="H459">
        <v>-300</v>
      </c>
    </row>
    <row r="460" spans="1:8">
      <c r="A460" s="1">
        <v>41529</v>
      </c>
      <c r="B460">
        <v>76920</v>
      </c>
      <c r="D460" s="1">
        <v>41529</v>
      </c>
      <c r="E460">
        <v>76600</v>
      </c>
      <c r="F460" t="s">
        <v>33</v>
      </c>
      <c r="H460">
        <v>-17800</v>
      </c>
    </row>
    <row r="461" spans="1:8">
      <c r="A461" s="1">
        <v>41544</v>
      </c>
      <c r="B461">
        <v>270.2</v>
      </c>
      <c r="D461" s="1">
        <v>41547</v>
      </c>
      <c r="E461">
        <v>267.5</v>
      </c>
      <c r="F461" t="s">
        <v>180</v>
      </c>
      <c r="H461">
        <v>11900</v>
      </c>
    </row>
    <row r="462" spans="1:8">
      <c r="A462" s="6">
        <v>41556</v>
      </c>
      <c r="B462" s="7">
        <v>265</v>
      </c>
      <c r="C462" s="7"/>
      <c r="D462" s="6">
        <v>41557</v>
      </c>
      <c r="E462" s="7">
        <v>260</v>
      </c>
      <c r="F462" s="7" t="s">
        <v>182</v>
      </c>
      <c r="G462" s="7"/>
      <c r="H462" s="7">
        <v>23400</v>
      </c>
    </row>
    <row r="463" spans="1:8">
      <c r="A463" s="6">
        <v>41564</v>
      </c>
      <c r="B463">
        <v>266</v>
      </c>
      <c r="D463" s="6">
        <v>41564</v>
      </c>
      <c r="E463">
        <v>270</v>
      </c>
      <c r="F463" t="s">
        <v>184</v>
      </c>
      <c r="H463">
        <v>-21600</v>
      </c>
    </row>
    <row r="464" spans="1:8">
      <c r="A464" s="6">
        <v>41634</v>
      </c>
      <c r="B464">
        <v>275</v>
      </c>
      <c r="D464" s="6">
        <v>41635</v>
      </c>
      <c r="E464">
        <v>276</v>
      </c>
      <c r="F464" t="s">
        <v>185</v>
      </c>
      <c r="H464">
        <v>3400</v>
      </c>
    </row>
    <row r="465" spans="1:11">
      <c r="A465" t="s">
        <v>186</v>
      </c>
      <c r="J465">
        <v>19035</v>
      </c>
      <c r="K465" s="5" t="s">
        <v>187</v>
      </c>
    </row>
    <row r="466" spans="1:11">
      <c r="A466" s="1">
        <v>41687</v>
      </c>
      <c r="B466">
        <v>80800</v>
      </c>
      <c r="D466" s="1">
        <v>41687</v>
      </c>
      <c r="E466">
        <v>81100</v>
      </c>
      <c r="F466" t="s">
        <v>7</v>
      </c>
      <c r="H466">
        <v>8900</v>
      </c>
    </row>
    <row r="467" spans="1:11">
      <c r="A467" s="1">
        <v>41691</v>
      </c>
      <c r="B467">
        <v>227</v>
      </c>
      <c r="D467" s="1">
        <v>41694</v>
      </c>
      <c r="E467">
        <v>221.1</v>
      </c>
      <c r="F467" t="s">
        <v>203</v>
      </c>
      <c r="H467">
        <v>-31100</v>
      </c>
    </row>
    <row r="468" spans="1:11">
      <c r="A468" t="s">
        <v>230</v>
      </c>
      <c r="J468">
        <v>-5328</v>
      </c>
      <c r="K468" s="5" t="s">
        <v>231</v>
      </c>
    </row>
    <row r="470" spans="1:11">
      <c r="A470" t="s">
        <v>240</v>
      </c>
    </row>
  </sheetData>
  <autoFilter ref="A1:K416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99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zoomScale="85" zoomScaleNormal="85" workbookViewId="0">
      <selection activeCell="K15" sqref="K15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386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425</v>
      </c>
      <c r="I1" s="2" t="s">
        <v>333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384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1327470</v>
      </c>
      <c r="H8">
        <v>226282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>(B8/(F8+I8))*100</f>
        <v>4.1632065851198998</v>
      </c>
      <c r="P8">
        <f t="shared" si="7"/>
        <v>1.0683691925599978</v>
      </c>
      <c r="Q8">
        <f>(F8/E8)*10</f>
        <v>14.932219312690657</v>
      </c>
      <c r="R8">
        <f>((F8+B8-L8)/(E8))*10</f>
        <v>15.000588505250654</v>
      </c>
    </row>
    <row r="9" spans="1:18">
      <c r="A9" s="11" t="s">
        <v>423</v>
      </c>
      <c r="B9">
        <v>1639021</v>
      </c>
      <c r="C9">
        <v>0</v>
      </c>
      <c r="D9">
        <f t="shared" si="2"/>
        <v>4324775</v>
      </c>
      <c r="E9">
        <f>E8+G8+M8</f>
        <v>5031770</v>
      </c>
      <c r="F9">
        <f>F8+B8+G8+H8-H7-L8</f>
        <v>6921420</v>
      </c>
      <c r="H9">
        <v>226282</v>
      </c>
      <c r="I9">
        <v>3214176</v>
      </c>
      <c r="J9">
        <f>I9/(F9+I9)*100</f>
        <v>31.711761202794587</v>
      </c>
      <c r="K9">
        <f t="shared" si="5"/>
        <v>3302389</v>
      </c>
      <c r="L9">
        <v>0</v>
      </c>
      <c r="M9">
        <v>0</v>
      </c>
      <c r="N9">
        <f t="shared" si="6"/>
        <v>23.680415290503973</v>
      </c>
      <c r="O9">
        <f t="shared" si="1"/>
        <v>16.170938541749297</v>
      </c>
      <c r="P9">
        <f t="shared" si="7"/>
        <v>3.2573448309441804</v>
      </c>
      <c r="Q9">
        <f>(F9/E9)*10</f>
        <v>13.755437947282964</v>
      </c>
      <c r="R9" s="12">
        <f>((F9+B9-L9+K14-K17)/(E9))*10</f>
        <v>17.668615616373561</v>
      </c>
    </row>
    <row r="10" spans="1:18">
      <c r="A10" s="11"/>
      <c r="R10" s="12"/>
    </row>
    <row r="11" spans="1:18">
      <c r="A11" s="11"/>
      <c r="R11" s="12"/>
    </row>
    <row r="13" spans="1:18">
      <c r="K13" s="2" t="s">
        <v>303</v>
      </c>
      <c r="M13" s="2" t="s">
        <v>387</v>
      </c>
      <c r="P13" s="2" t="s">
        <v>309</v>
      </c>
      <c r="Q13" s="2"/>
      <c r="R13" s="2"/>
    </row>
    <row r="14" spans="1:18">
      <c r="K14">
        <v>330000</v>
      </c>
      <c r="P14" s="2" t="s">
        <v>310</v>
      </c>
      <c r="Q14" s="2" t="s">
        <v>317</v>
      </c>
      <c r="R14" s="2" t="s">
        <v>318</v>
      </c>
    </row>
    <row r="15" spans="1:18">
      <c r="K15" t="s">
        <v>435</v>
      </c>
      <c r="P15">
        <v>2010</v>
      </c>
      <c r="Q15">
        <f t="shared" ref="Q15:Q20" si="10">L2/(E2/10)</f>
        <v>3</v>
      </c>
      <c r="R15">
        <f t="shared" ref="R15:R21" si="11">M2/(E2/10)</f>
        <v>0</v>
      </c>
    </row>
    <row r="16" spans="1:18">
      <c r="K16" s="2" t="s">
        <v>332</v>
      </c>
      <c r="M16" s="2" t="s">
        <v>337</v>
      </c>
      <c r="N16" s="2" t="s">
        <v>338</v>
      </c>
      <c r="P16">
        <v>2011</v>
      </c>
      <c r="Q16">
        <f t="shared" si="10"/>
        <v>0</v>
      </c>
      <c r="R16">
        <f t="shared" si="11"/>
        <v>0</v>
      </c>
    </row>
    <row r="17" spans="11:18">
      <c r="P17">
        <v>2012</v>
      </c>
      <c r="Q17">
        <f t="shared" si="10"/>
        <v>0</v>
      </c>
      <c r="R17">
        <f t="shared" si="11"/>
        <v>0</v>
      </c>
    </row>
    <row r="18" spans="11:18">
      <c r="P18">
        <v>2013</v>
      </c>
      <c r="Q18">
        <f t="shared" si="10"/>
        <v>0</v>
      </c>
      <c r="R18">
        <f t="shared" si="11"/>
        <v>0</v>
      </c>
    </row>
    <row r="19" spans="11:18">
      <c r="K19" s="2" t="s">
        <v>336</v>
      </c>
      <c r="M19" s="2" t="s">
        <v>339</v>
      </c>
      <c r="P19">
        <v>2014</v>
      </c>
      <c r="Q19">
        <f t="shared" si="10"/>
        <v>0</v>
      </c>
      <c r="R19">
        <f t="shared" si="11"/>
        <v>2</v>
      </c>
    </row>
    <row r="20" spans="11:18">
      <c r="K20">
        <v>277556</v>
      </c>
      <c r="P20">
        <v>2015</v>
      </c>
      <c r="Q20">
        <f t="shared" si="10"/>
        <v>0.64</v>
      </c>
      <c r="R20">
        <f t="shared" si="11"/>
        <v>2</v>
      </c>
    </row>
    <row r="21" spans="11:18">
      <c r="P21">
        <v>2016</v>
      </c>
      <c r="Q21">
        <v>1</v>
      </c>
      <c r="R21">
        <f t="shared" si="11"/>
        <v>0</v>
      </c>
    </row>
    <row r="22" spans="11:18">
      <c r="K22" s="2" t="s">
        <v>334</v>
      </c>
      <c r="M22" s="2" t="s">
        <v>340</v>
      </c>
    </row>
    <row r="25" spans="11:18">
      <c r="K25" s="2" t="s">
        <v>335</v>
      </c>
      <c r="M25" s="2" t="s">
        <v>381</v>
      </c>
    </row>
    <row r="26" spans="11:18">
      <c r="K26">
        <f>K23/(F8+B8+K14-K17+K23+K20)*100</f>
        <v>0</v>
      </c>
      <c r="M26">
        <f>K29/(F9+B9+K14+M14-K17+K23+K29)*100</f>
        <v>0</v>
      </c>
    </row>
    <row r="28" spans="11:18">
      <c r="K28" s="2" t="s">
        <v>380</v>
      </c>
      <c r="M28" s="2" t="s">
        <v>383</v>
      </c>
    </row>
    <row r="29" spans="11:18">
      <c r="M29">
        <f>(K29+K32)/(F8+B8+K14+M14-K17+K23+K29+K32)*100</f>
        <v>0</v>
      </c>
    </row>
    <row r="31" spans="11:18">
      <c r="K31" s="2" t="s">
        <v>382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3"/>
  <sheetViews>
    <sheetView zoomScale="85" zoomScaleNormal="85" workbookViewId="0">
      <selection activeCell="E17" sqref="E17"/>
    </sheetView>
  </sheetViews>
  <sheetFormatPr defaultRowHeight="16.5"/>
  <cols>
    <col min="1" max="1" width="11.625" customWidth="1"/>
    <col min="2" max="5" width="15.375" customWidth="1"/>
    <col min="6" max="6" width="17.625" customWidth="1"/>
    <col min="7" max="8" width="15" customWidth="1"/>
    <col min="10" max="10" width="51.875" customWidth="1"/>
  </cols>
  <sheetData>
    <row r="1" spans="1:10">
      <c r="A1" t="s">
        <v>9</v>
      </c>
      <c r="B1" t="s">
        <v>289</v>
      </c>
      <c r="C1" t="s">
        <v>424</v>
      </c>
      <c r="D1" t="s">
        <v>316</v>
      </c>
      <c r="E1" t="s">
        <v>294</v>
      </c>
      <c r="F1" t="s">
        <v>293</v>
      </c>
      <c r="G1" t="s">
        <v>290</v>
      </c>
      <c r="H1" t="s">
        <v>297</v>
      </c>
      <c r="I1" t="s">
        <v>296</v>
      </c>
    </row>
    <row r="2" spans="1:10">
      <c r="A2" s="1">
        <v>40179</v>
      </c>
      <c r="B2" t="s">
        <v>291</v>
      </c>
      <c r="C2">
        <v>2010</v>
      </c>
      <c r="E2">
        <v>10000</v>
      </c>
      <c r="F2">
        <v>10</v>
      </c>
      <c r="G2">
        <f>E2/F2</f>
        <v>1000</v>
      </c>
      <c r="H2">
        <f>10*G2</f>
        <v>10000</v>
      </c>
    </row>
    <row r="3" spans="1:10">
      <c r="A3" s="1">
        <v>40179</v>
      </c>
      <c r="B3" t="s">
        <v>292</v>
      </c>
      <c r="C3">
        <v>2010</v>
      </c>
      <c r="E3">
        <v>10000</v>
      </c>
      <c r="F3">
        <v>10</v>
      </c>
      <c r="G3">
        <f t="shared" ref="G3:G12" si="0">E3/F3</f>
        <v>1000</v>
      </c>
      <c r="H3">
        <f t="shared" ref="H3:H17" si="1">10*G3</f>
        <v>10000</v>
      </c>
    </row>
    <row r="4" spans="1:10">
      <c r="A4" s="1">
        <v>40909</v>
      </c>
      <c r="B4" t="s">
        <v>291</v>
      </c>
      <c r="C4">
        <v>2012</v>
      </c>
      <c r="E4">
        <v>20000</v>
      </c>
      <c r="F4">
        <v>10</v>
      </c>
      <c r="G4">
        <f t="shared" si="0"/>
        <v>2000</v>
      </c>
      <c r="H4">
        <f t="shared" si="1"/>
        <v>20000</v>
      </c>
    </row>
    <row r="5" spans="1:10">
      <c r="A5" s="1">
        <v>40909</v>
      </c>
      <c r="B5" t="s">
        <v>292</v>
      </c>
      <c r="C5">
        <v>2012</v>
      </c>
      <c r="E5">
        <v>20000</v>
      </c>
      <c r="F5">
        <v>10</v>
      </c>
      <c r="G5">
        <f t="shared" si="0"/>
        <v>2000</v>
      </c>
      <c r="H5">
        <f t="shared" si="1"/>
        <v>20000</v>
      </c>
    </row>
    <row r="6" spans="1:10">
      <c r="A6" s="1">
        <v>41275</v>
      </c>
      <c r="B6" t="s">
        <v>291</v>
      </c>
      <c r="C6">
        <v>2013</v>
      </c>
      <c r="E6">
        <v>40000</v>
      </c>
      <c r="F6">
        <v>10</v>
      </c>
      <c r="G6">
        <f t="shared" si="0"/>
        <v>4000</v>
      </c>
      <c r="H6">
        <f t="shared" si="1"/>
        <v>40000</v>
      </c>
    </row>
    <row r="7" spans="1:10">
      <c r="A7" s="1">
        <v>41275</v>
      </c>
      <c r="B7" t="s">
        <v>292</v>
      </c>
      <c r="C7">
        <v>2013</v>
      </c>
      <c r="E7">
        <v>40000</v>
      </c>
      <c r="F7">
        <v>10</v>
      </c>
      <c r="G7">
        <f t="shared" si="0"/>
        <v>4000</v>
      </c>
      <c r="H7">
        <f t="shared" si="1"/>
        <v>40000</v>
      </c>
    </row>
    <row r="8" spans="1:10">
      <c r="A8" s="1">
        <v>41640</v>
      </c>
      <c r="B8" t="s">
        <v>291</v>
      </c>
      <c r="C8">
        <v>2014</v>
      </c>
      <c r="E8">
        <v>280000</v>
      </c>
      <c r="F8">
        <v>10</v>
      </c>
      <c r="G8">
        <f t="shared" si="0"/>
        <v>28000</v>
      </c>
      <c r="H8">
        <f t="shared" si="1"/>
        <v>280000</v>
      </c>
    </row>
    <row r="9" spans="1:10">
      <c r="A9" s="1">
        <v>41640</v>
      </c>
      <c r="B9" t="s">
        <v>292</v>
      </c>
      <c r="C9">
        <v>2014</v>
      </c>
      <c r="E9">
        <v>280000</v>
      </c>
      <c r="F9">
        <v>10</v>
      </c>
      <c r="G9">
        <f t="shared" si="0"/>
        <v>28000</v>
      </c>
      <c r="H9">
        <f t="shared" si="1"/>
        <v>280000</v>
      </c>
    </row>
    <row r="10" spans="1:10">
      <c r="A10" s="1">
        <v>42005</v>
      </c>
      <c r="B10" t="s">
        <v>291</v>
      </c>
      <c r="C10">
        <v>2015</v>
      </c>
      <c r="E10">
        <v>370000</v>
      </c>
      <c r="F10">
        <v>10</v>
      </c>
      <c r="G10">
        <f t="shared" si="0"/>
        <v>37000</v>
      </c>
      <c r="H10">
        <f t="shared" si="1"/>
        <v>370000</v>
      </c>
    </row>
    <row r="11" spans="1:10">
      <c r="A11" s="1">
        <v>42005</v>
      </c>
      <c r="B11" t="s">
        <v>292</v>
      </c>
      <c r="C11">
        <v>2015</v>
      </c>
      <c r="E11">
        <v>370000</v>
      </c>
      <c r="F11">
        <v>10</v>
      </c>
      <c r="G11">
        <f t="shared" si="0"/>
        <v>37000</v>
      </c>
      <c r="H11">
        <f t="shared" si="1"/>
        <v>370000</v>
      </c>
    </row>
    <row r="12" spans="1:10">
      <c r="A12" s="1">
        <v>42005</v>
      </c>
      <c r="B12" t="s">
        <v>295</v>
      </c>
      <c r="C12">
        <v>2015</v>
      </c>
      <c r="E12">
        <v>50000</v>
      </c>
      <c r="F12">
        <v>16</v>
      </c>
      <c r="G12">
        <f t="shared" si="0"/>
        <v>3125</v>
      </c>
      <c r="H12">
        <f t="shared" si="1"/>
        <v>31250</v>
      </c>
      <c r="I12">
        <f>(F12-10)*G12</f>
        <v>18750</v>
      </c>
    </row>
    <row r="13" spans="1:10">
      <c r="A13" s="1">
        <v>42222</v>
      </c>
      <c r="B13" t="s">
        <v>295</v>
      </c>
      <c r="C13">
        <v>2015</v>
      </c>
      <c r="E13">
        <v>50000</v>
      </c>
      <c r="F13">
        <v>16</v>
      </c>
      <c r="G13">
        <f t="shared" ref="G13:G15" si="2">E13/F13</f>
        <v>3125</v>
      </c>
      <c r="H13">
        <f t="shared" ref="H13:H15" si="3">10*G13</f>
        <v>31250</v>
      </c>
      <c r="I13">
        <f>(F13-10)*G13</f>
        <v>18750</v>
      </c>
    </row>
    <row r="14" spans="1:10">
      <c r="A14" s="1">
        <v>42005</v>
      </c>
      <c r="B14" t="s">
        <v>291</v>
      </c>
      <c r="C14">
        <v>2015</v>
      </c>
      <c r="E14">
        <v>137000</v>
      </c>
      <c r="F14">
        <v>10</v>
      </c>
      <c r="G14">
        <f t="shared" si="2"/>
        <v>13700</v>
      </c>
      <c r="H14">
        <f t="shared" si="3"/>
        <v>137000</v>
      </c>
      <c r="J14" t="s">
        <v>375</v>
      </c>
    </row>
    <row r="15" spans="1:10">
      <c r="A15" s="1">
        <v>42005</v>
      </c>
      <c r="B15" t="s">
        <v>292</v>
      </c>
      <c r="C15">
        <v>2015</v>
      </c>
      <c r="E15">
        <v>137000</v>
      </c>
      <c r="F15">
        <v>10</v>
      </c>
      <c r="G15">
        <f t="shared" si="2"/>
        <v>13700</v>
      </c>
      <c r="H15">
        <f t="shared" si="3"/>
        <v>137000</v>
      </c>
      <c r="J15" t="s">
        <v>375</v>
      </c>
    </row>
    <row r="16" spans="1:10">
      <c r="A16" s="1">
        <v>42111</v>
      </c>
      <c r="B16" t="s">
        <v>291</v>
      </c>
      <c r="C16">
        <v>2015</v>
      </c>
      <c r="D16">
        <v>70000</v>
      </c>
      <c r="F16">
        <v>10</v>
      </c>
      <c r="G16">
        <f>D16/F16</f>
        <v>7000</v>
      </c>
      <c r="H16">
        <f t="shared" si="1"/>
        <v>70000</v>
      </c>
    </row>
    <row r="17" spans="1:10">
      <c r="A17" s="1">
        <v>42111</v>
      </c>
      <c r="B17" t="s">
        <v>292</v>
      </c>
      <c r="C17">
        <v>2015</v>
      </c>
      <c r="D17">
        <v>70000</v>
      </c>
      <c r="F17">
        <v>10</v>
      </c>
      <c r="G17">
        <f>D17/F17</f>
        <v>7000</v>
      </c>
      <c r="H17">
        <f t="shared" si="1"/>
        <v>70000</v>
      </c>
    </row>
    <row r="18" spans="1:10">
      <c r="A18" s="1">
        <v>42370</v>
      </c>
      <c r="B18" t="s">
        <v>291</v>
      </c>
      <c r="C18">
        <v>2016</v>
      </c>
      <c r="E18">
        <v>360000</v>
      </c>
      <c r="F18">
        <v>10</v>
      </c>
      <c r="G18">
        <f t="shared" ref="G18:G19" si="4">E18/F18</f>
        <v>36000</v>
      </c>
      <c r="H18">
        <f t="shared" ref="H18:H29" si="5">10*G18</f>
        <v>360000</v>
      </c>
    </row>
    <row r="19" spans="1:10">
      <c r="A19" s="1">
        <v>42370</v>
      </c>
      <c r="B19" t="s">
        <v>292</v>
      </c>
      <c r="C19">
        <v>2016</v>
      </c>
      <c r="E19">
        <v>360000</v>
      </c>
      <c r="F19">
        <v>10</v>
      </c>
      <c r="G19">
        <f t="shared" si="4"/>
        <v>36000</v>
      </c>
      <c r="H19">
        <f t="shared" si="5"/>
        <v>360000</v>
      </c>
    </row>
    <row r="20" spans="1:10">
      <c r="A20" s="1">
        <v>42417</v>
      </c>
      <c r="B20" t="s">
        <v>295</v>
      </c>
      <c r="C20">
        <v>2016</v>
      </c>
      <c r="E20">
        <v>50000</v>
      </c>
      <c r="F20">
        <v>16</v>
      </c>
      <c r="G20">
        <f>E20/F20</f>
        <v>3125</v>
      </c>
      <c r="H20">
        <f>10*G20</f>
        <v>31250</v>
      </c>
      <c r="I20">
        <f t="shared" ref="I20:I38" si="6">(F20-10)*G20</f>
        <v>18750</v>
      </c>
    </row>
    <row r="21" spans="1:10">
      <c r="A21" s="1">
        <v>42417</v>
      </c>
      <c r="B21" t="s">
        <v>390</v>
      </c>
      <c r="C21">
        <v>2016</v>
      </c>
      <c r="E21">
        <v>50000</v>
      </c>
      <c r="F21">
        <v>16</v>
      </c>
      <c r="G21">
        <f t="shared" ref="G21" si="7">E21/F21</f>
        <v>3125</v>
      </c>
      <c r="H21">
        <f t="shared" ref="H21" si="8">10*G21</f>
        <v>31250</v>
      </c>
      <c r="I21">
        <f t="shared" si="6"/>
        <v>18750</v>
      </c>
    </row>
    <row r="22" spans="1:10">
      <c r="A22" s="1">
        <v>42419</v>
      </c>
      <c r="B22" t="s">
        <v>390</v>
      </c>
      <c r="C22">
        <v>2016</v>
      </c>
      <c r="E22">
        <v>50000</v>
      </c>
      <c r="F22">
        <v>16</v>
      </c>
      <c r="G22">
        <f t="shared" ref="G22:G23" si="9">E22/F22</f>
        <v>3125</v>
      </c>
      <c r="H22">
        <f t="shared" ref="H22:H23" si="10">10*G22</f>
        <v>31250</v>
      </c>
      <c r="I22">
        <f t="shared" si="6"/>
        <v>18750</v>
      </c>
    </row>
    <row r="23" spans="1:10">
      <c r="A23" s="1">
        <v>42443</v>
      </c>
      <c r="B23" t="s">
        <v>390</v>
      </c>
      <c r="C23">
        <v>2016</v>
      </c>
      <c r="E23">
        <v>50000</v>
      </c>
      <c r="F23">
        <v>16</v>
      </c>
      <c r="G23">
        <f t="shared" si="9"/>
        <v>3125</v>
      </c>
      <c r="H23">
        <f t="shared" si="10"/>
        <v>31250</v>
      </c>
      <c r="I23">
        <f t="shared" si="6"/>
        <v>18750</v>
      </c>
    </row>
    <row r="24" spans="1:10" ht="61.5" customHeight="1">
      <c r="A24" s="1">
        <v>42443</v>
      </c>
      <c r="B24" t="s">
        <v>390</v>
      </c>
      <c r="C24">
        <v>2016</v>
      </c>
      <c r="E24">
        <v>50000</v>
      </c>
      <c r="F24">
        <v>16</v>
      </c>
      <c r="G24">
        <v>3125</v>
      </c>
      <c r="H24">
        <f>10*(E24/F24)</f>
        <v>31250</v>
      </c>
      <c r="I24">
        <f>(F24-10)*(E24/F24)</f>
        <v>18750</v>
      </c>
      <c r="J24" s="14"/>
    </row>
    <row r="25" spans="1:10">
      <c r="A25" s="1">
        <v>42622</v>
      </c>
      <c r="B25" t="s">
        <v>416</v>
      </c>
      <c r="C25">
        <v>2016</v>
      </c>
      <c r="E25">
        <v>50000</v>
      </c>
      <c r="F25">
        <v>16</v>
      </c>
      <c r="G25">
        <v>3125</v>
      </c>
      <c r="H25">
        <v>31250</v>
      </c>
      <c r="I25">
        <v>18750</v>
      </c>
      <c r="J25" t="s">
        <v>417</v>
      </c>
    </row>
    <row r="26" spans="1:10">
      <c r="A26" s="1">
        <v>42485</v>
      </c>
      <c r="B26" t="s">
        <v>295</v>
      </c>
      <c r="C26">
        <v>2016</v>
      </c>
      <c r="E26">
        <v>4000</v>
      </c>
      <c r="F26">
        <v>16</v>
      </c>
      <c r="G26">
        <f>E26/F26</f>
        <v>250</v>
      </c>
      <c r="H26">
        <f>10*G26</f>
        <v>2500</v>
      </c>
      <c r="I26">
        <f t="shared" si="6"/>
        <v>1500</v>
      </c>
    </row>
    <row r="27" spans="1:10">
      <c r="A27" s="1">
        <v>42485</v>
      </c>
      <c r="B27" t="s">
        <v>291</v>
      </c>
      <c r="C27">
        <v>2016</v>
      </c>
      <c r="D27">
        <v>185400</v>
      </c>
      <c r="F27">
        <v>10</v>
      </c>
      <c r="G27">
        <f>D27/F27</f>
        <v>18540</v>
      </c>
      <c r="H27">
        <f t="shared" si="5"/>
        <v>185400</v>
      </c>
      <c r="I27">
        <f t="shared" si="6"/>
        <v>0</v>
      </c>
    </row>
    <row r="28" spans="1:10">
      <c r="A28" s="1">
        <v>42485</v>
      </c>
      <c r="B28" t="s">
        <v>292</v>
      </c>
      <c r="C28">
        <v>2016</v>
      </c>
      <c r="D28">
        <v>185400</v>
      </c>
      <c r="F28">
        <v>10</v>
      </c>
      <c r="G28">
        <f>D28/F28</f>
        <v>18540</v>
      </c>
      <c r="H28">
        <f t="shared" si="5"/>
        <v>185400</v>
      </c>
      <c r="I28">
        <f t="shared" si="6"/>
        <v>0</v>
      </c>
    </row>
    <row r="29" spans="1:10">
      <c r="A29" s="1">
        <v>42485</v>
      </c>
      <c r="B29" t="s">
        <v>295</v>
      </c>
      <c r="C29">
        <v>2016</v>
      </c>
      <c r="D29">
        <v>12500</v>
      </c>
      <c r="F29">
        <v>10</v>
      </c>
      <c r="G29">
        <f>D29/F29</f>
        <v>1250</v>
      </c>
      <c r="H29">
        <f t="shared" si="5"/>
        <v>12500</v>
      </c>
      <c r="I29">
        <f t="shared" si="6"/>
        <v>0</v>
      </c>
    </row>
    <row r="30" spans="1:10">
      <c r="A30" s="1">
        <v>42643</v>
      </c>
      <c r="B30" t="s">
        <v>418</v>
      </c>
      <c r="C30">
        <v>2016</v>
      </c>
      <c r="E30">
        <v>100000</v>
      </c>
      <c r="F30">
        <v>16</v>
      </c>
      <c r="G30">
        <f>E30/F30</f>
        <v>6250</v>
      </c>
      <c r="H30">
        <f>10*(E30/F30)</f>
        <v>62500</v>
      </c>
      <c r="I30">
        <f t="shared" si="6"/>
        <v>37500</v>
      </c>
      <c r="J30" t="s">
        <v>421</v>
      </c>
    </row>
    <row r="31" spans="1:10">
      <c r="A31" s="1">
        <v>42370</v>
      </c>
      <c r="B31" t="s">
        <v>291</v>
      </c>
      <c r="C31">
        <v>2016</v>
      </c>
      <c r="E31">
        <v>216000</v>
      </c>
      <c r="F31">
        <v>10</v>
      </c>
      <c r="G31">
        <f t="shared" ref="G31:G34" si="11">E31/F31</f>
        <v>21600</v>
      </c>
      <c r="H31">
        <f t="shared" ref="H31:H41" si="12">10*G31</f>
        <v>216000</v>
      </c>
      <c r="I31">
        <f t="shared" si="6"/>
        <v>0</v>
      </c>
      <c r="J31" t="s">
        <v>422</v>
      </c>
    </row>
    <row r="32" spans="1:10">
      <c r="A32" s="1">
        <v>42370</v>
      </c>
      <c r="B32" t="s">
        <v>292</v>
      </c>
      <c r="C32">
        <v>2016</v>
      </c>
      <c r="E32">
        <v>216000</v>
      </c>
      <c r="F32">
        <v>10</v>
      </c>
      <c r="G32">
        <f t="shared" si="11"/>
        <v>21600</v>
      </c>
      <c r="H32">
        <f t="shared" si="12"/>
        <v>216000</v>
      </c>
      <c r="I32">
        <f t="shared" si="6"/>
        <v>0</v>
      </c>
      <c r="J32" t="s">
        <v>422</v>
      </c>
    </row>
    <row r="33" spans="1:10">
      <c r="A33" s="1">
        <v>42736</v>
      </c>
      <c r="B33" t="s">
        <v>291</v>
      </c>
      <c r="C33">
        <v>2017</v>
      </c>
      <c r="E33">
        <v>300000</v>
      </c>
      <c r="F33">
        <v>10</v>
      </c>
      <c r="G33">
        <f t="shared" si="11"/>
        <v>30000</v>
      </c>
      <c r="H33">
        <f t="shared" si="12"/>
        <v>300000</v>
      </c>
      <c r="I33">
        <f t="shared" si="6"/>
        <v>0</v>
      </c>
    </row>
    <row r="34" spans="1:10">
      <c r="A34" s="1">
        <v>42736</v>
      </c>
      <c r="B34" t="s">
        <v>292</v>
      </c>
      <c r="C34">
        <v>2017</v>
      </c>
      <c r="E34">
        <v>300000</v>
      </c>
      <c r="F34">
        <v>10</v>
      </c>
      <c r="G34">
        <f t="shared" si="11"/>
        <v>30000</v>
      </c>
      <c r="H34">
        <f t="shared" si="12"/>
        <v>300000</v>
      </c>
      <c r="I34">
        <f t="shared" si="6"/>
        <v>0</v>
      </c>
    </row>
    <row r="35" spans="1:10">
      <c r="A35" s="1">
        <v>42736</v>
      </c>
      <c r="B35" t="s">
        <v>390</v>
      </c>
      <c r="C35">
        <v>2017</v>
      </c>
      <c r="E35">
        <v>12500</v>
      </c>
      <c r="F35">
        <v>16</v>
      </c>
      <c r="G35">
        <f>ROUND(E35/F35,0)</f>
        <v>781</v>
      </c>
      <c r="H35">
        <f t="shared" si="12"/>
        <v>7810</v>
      </c>
      <c r="I35">
        <f t="shared" si="6"/>
        <v>4686</v>
      </c>
      <c r="J35" t="s">
        <v>429</v>
      </c>
    </row>
    <row r="36" spans="1:10">
      <c r="A36" s="1">
        <v>42736</v>
      </c>
      <c r="B36" t="s">
        <v>295</v>
      </c>
      <c r="C36">
        <v>2017</v>
      </c>
      <c r="E36">
        <v>10875</v>
      </c>
      <c r="F36">
        <v>16</v>
      </c>
      <c r="G36">
        <f>ROUND(E36/F36,0)</f>
        <v>680</v>
      </c>
      <c r="H36">
        <f t="shared" si="12"/>
        <v>6800</v>
      </c>
      <c r="I36">
        <f t="shared" si="6"/>
        <v>4080</v>
      </c>
      <c r="J36" t="s">
        <v>429</v>
      </c>
    </row>
    <row r="37" spans="1:10">
      <c r="A37" s="1">
        <v>42736</v>
      </c>
      <c r="B37" t="s">
        <v>416</v>
      </c>
      <c r="C37">
        <v>2017</v>
      </c>
      <c r="E37">
        <v>3125</v>
      </c>
      <c r="F37">
        <v>16</v>
      </c>
      <c r="G37">
        <f t="shared" ref="G37:G38" si="13">ROUND(E37/F37,0)</f>
        <v>195</v>
      </c>
      <c r="H37">
        <f t="shared" si="12"/>
        <v>1950</v>
      </c>
      <c r="I37">
        <f t="shared" si="6"/>
        <v>1170</v>
      </c>
      <c r="J37" t="s">
        <v>429</v>
      </c>
    </row>
    <row r="38" spans="1:10">
      <c r="A38" s="1">
        <v>42736</v>
      </c>
      <c r="B38" t="s">
        <v>418</v>
      </c>
      <c r="C38">
        <v>2017</v>
      </c>
      <c r="E38">
        <v>6250</v>
      </c>
      <c r="F38">
        <v>16</v>
      </c>
      <c r="G38">
        <f t="shared" si="13"/>
        <v>391</v>
      </c>
      <c r="H38">
        <f t="shared" si="12"/>
        <v>3910</v>
      </c>
      <c r="I38">
        <f t="shared" si="6"/>
        <v>2346</v>
      </c>
      <c r="J38" t="s">
        <v>429</v>
      </c>
    </row>
    <row r="39" spans="1:10">
      <c r="A39" s="1">
        <v>42736</v>
      </c>
      <c r="B39" t="s">
        <v>291</v>
      </c>
      <c r="C39">
        <v>2017</v>
      </c>
      <c r="E39">
        <v>125000</v>
      </c>
      <c r="F39">
        <v>10</v>
      </c>
      <c r="G39">
        <f t="shared" ref="G39:G40" si="14">E39/F39</f>
        <v>12500</v>
      </c>
      <c r="H39">
        <f t="shared" si="12"/>
        <v>125000</v>
      </c>
      <c r="J39" t="s">
        <v>429</v>
      </c>
    </row>
    <row r="40" spans="1:10">
      <c r="A40" s="1">
        <v>42736</v>
      </c>
      <c r="B40" t="s">
        <v>292</v>
      </c>
      <c r="C40">
        <v>2017</v>
      </c>
      <c r="E40">
        <v>125000</v>
      </c>
      <c r="F40">
        <v>10</v>
      </c>
      <c r="G40">
        <f t="shared" si="14"/>
        <v>12500</v>
      </c>
      <c r="H40">
        <f t="shared" si="12"/>
        <v>125000</v>
      </c>
      <c r="J40" t="s">
        <v>429</v>
      </c>
    </row>
    <row r="41" spans="1:10">
      <c r="A41" s="1">
        <v>42776</v>
      </c>
      <c r="B41" t="s">
        <v>295</v>
      </c>
      <c r="C41">
        <v>2017</v>
      </c>
      <c r="E41">
        <v>50000</v>
      </c>
      <c r="F41">
        <v>20</v>
      </c>
      <c r="G41">
        <f>ROUND(E41/F41,0)</f>
        <v>2500</v>
      </c>
      <c r="H41">
        <f t="shared" si="12"/>
        <v>25000</v>
      </c>
      <c r="I41">
        <f t="shared" ref="I41:I43" si="15">(F41-10)*G41</f>
        <v>25000</v>
      </c>
    </row>
    <row r="42" spans="1:10">
      <c r="A42" s="1">
        <v>42736</v>
      </c>
      <c r="B42" t="s">
        <v>291</v>
      </c>
      <c r="C42">
        <v>2017</v>
      </c>
      <c r="E42">
        <v>216000</v>
      </c>
      <c r="F42">
        <v>10</v>
      </c>
      <c r="G42">
        <f t="shared" ref="G42:G43" si="16">E42/F42</f>
        <v>21600</v>
      </c>
      <c r="H42">
        <f t="shared" ref="H42:H43" si="17">10*G42</f>
        <v>216000</v>
      </c>
      <c r="I42">
        <f t="shared" si="15"/>
        <v>0</v>
      </c>
      <c r="J42" t="s">
        <v>439</v>
      </c>
    </row>
    <row r="43" spans="1:10">
      <c r="A43" s="1">
        <v>42736</v>
      </c>
      <c r="B43" t="s">
        <v>292</v>
      </c>
      <c r="C43">
        <v>2017</v>
      </c>
      <c r="E43">
        <v>216000</v>
      </c>
      <c r="F43">
        <v>10</v>
      </c>
      <c r="G43">
        <f t="shared" si="16"/>
        <v>21600</v>
      </c>
      <c r="H43">
        <f t="shared" si="17"/>
        <v>216000</v>
      </c>
      <c r="I43">
        <f t="shared" si="15"/>
        <v>0</v>
      </c>
      <c r="J43" t="s">
        <v>439</v>
      </c>
    </row>
  </sheetData>
  <autoFilter ref="A1:J43">
    <filterColumn colId="1"/>
    <filterColumn colId="2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1"/>
  <sheetViews>
    <sheetView zoomScale="85" zoomScaleNormal="85" workbookViewId="0">
      <selection activeCell="N25" sqref="N25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</cols>
  <sheetData>
    <row r="1" spans="1:16">
      <c r="A1" s="2" t="s">
        <v>243</v>
      </c>
      <c r="B1" s="2" t="s">
        <v>244</v>
      </c>
      <c r="C1" s="2" t="s">
        <v>307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425</v>
      </c>
      <c r="I1" s="2" t="s">
        <v>333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</row>
    <row r="2" spans="1:16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</row>
    <row r="3" spans="1:16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</row>
    <row r="4" spans="1:16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</row>
    <row r="5" spans="1:16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</row>
    <row r="6" spans="1:16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</row>
    <row r="7" spans="1:16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</row>
    <row r="8" spans="1:16">
      <c r="A8" s="11" t="s">
        <v>384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1032000</v>
      </c>
      <c r="H8">
        <v>189000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 t="shared" si="1"/>
        <v>4.1632065851198998</v>
      </c>
      <c r="P8">
        <f t="shared" si="7"/>
        <v>1.0683691925599978</v>
      </c>
    </row>
    <row r="9" spans="1:16">
      <c r="A9" s="11" t="s">
        <v>423</v>
      </c>
      <c r="C9">
        <v>0</v>
      </c>
      <c r="D9">
        <f t="shared" si="2"/>
        <v>2685754</v>
      </c>
      <c r="E9">
        <f>E8+G8+M8</f>
        <v>4736300</v>
      </c>
      <c r="F9">
        <f>F8+B8+G8+H8-H7-L8</f>
        <v>6588668</v>
      </c>
      <c r="H9">
        <v>189000</v>
      </c>
      <c r="I9">
        <v>3214176</v>
      </c>
      <c r="J9">
        <f t="shared" si="0"/>
        <v>32.788199016530307</v>
      </c>
      <c r="K9">
        <f t="shared" si="5"/>
        <v>1663368</v>
      </c>
      <c r="L9">
        <v>0</v>
      </c>
      <c r="M9">
        <v>0</v>
      </c>
      <c r="N9">
        <f t="shared" si="6"/>
        <v>0</v>
      </c>
      <c r="O9">
        <f t="shared" si="1"/>
        <v>0</v>
      </c>
      <c r="P9">
        <f t="shared" si="7"/>
        <v>0</v>
      </c>
    </row>
    <row r="10" spans="1:16">
      <c r="A10" s="11"/>
    </row>
    <row r="11" spans="1:16">
      <c r="A11" s="11"/>
    </row>
    <row r="13" spans="1:16">
      <c r="K13" s="2" t="s">
        <v>309</v>
      </c>
      <c r="L13" s="2"/>
      <c r="M13" s="2"/>
    </row>
    <row r="14" spans="1:16">
      <c r="K14" s="2" t="s">
        <v>243</v>
      </c>
      <c r="L14" s="2" t="s">
        <v>317</v>
      </c>
      <c r="M14" s="2" t="s">
        <v>318</v>
      </c>
    </row>
    <row r="15" spans="1:16">
      <c r="K15">
        <v>2010</v>
      </c>
      <c r="L15">
        <f t="shared" ref="L15:L20" si="8">L2/(E2/10)</f>
        <v>3</v>
      </c>
      <c r="M15">
        <f t="shared" ref="M15:M21" si="9">M2/(E2/10)</f>
        <v>0</v>
      </c>
    </row>
    <row r="16" spans="1:16">
      <c r="K16">
        <v>2011</v>
      </c>
      <c r="L16">
        <f t="shared" si="8"/>
        <v>0</v>
      </c>
      <c r="M16">
        <f t="shared" si="9"/>
        <v>0</v>
      </c>
    </row>
    <row r="17" spans="11:13">
      <c r="K17">
        <v>2012</v>
      </c>
      <c r="L17">
        <f t="shared" si="8"/>
        <v>0</v>
      </c>
      <c r="M17">
        <f t="shared" si="9"/>
        <v>0</v>
      </c>
    </row>
    <row r="18" spans="11:13">
      <c r="K18">
        <v>2013</v>
      </c>
      <c r="L18">
        <f t="shared" si="8"/>
        <v>0</v>
      </c>
      <c r="M18">
        <f t="shared" si="9"/>
        <v>0</v>
      </c>
    </row>
    <row r="19" spans="11:13">
      <c r="K19">
        <v>2014</v>
      </c>
      <c r="L19">
        <f t="shared" si="8"/>
        <v>0</v>
      </c>
      <c r="M19">
        <f t="shared" si="9"/>
        <v>2</v>
      </c>
    </row>
    <row r="20" spans="11:13">
      <c r="K20">
        <v>2015</v>
      </c>
      <c r="L20">
        <f t="shared" si="8"/>
        <v>0.64</v>
      </c>
      <c r="M20">
        <f t="shared" si="9"/>
        <v>2</v>
      </c>
    </row>
    <row r="21" spans="11:13">
      <c r="K21">
        <v>2016</v>
      </c>
      <c r="L21">
        <v>1</v>
      </c>
      <c r="M21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2017-03-17T03:16:16Z</dcterms:modified>
</cp:coreProperties>
</file>