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2" sheetId="8" r:id="rId7"/>
  </sheets>
  <definedNames>
    <definedName name="_xlnm._FilterDatabase" localSheetId="0" hidden="1">'老婆合資(投資)'!$A$1:$K$369</definedName>
    <definedName name="_xlnm._FilterDatabase" localSheetId="2" hidden="1">股份統計!$A$1:$J$36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G35" i="6"/>
  <c r="I35" s="1"/>
  <c r="I31"/>
  <c r="I32"/>
  <c r="I33"/>
  <c r="I34"/>
  <c r="I36"/>
  <c r="I37"/>
  <c r="I38"/>
  <c r="I30"/>
  <c r="I27"/>
  <c r="I28"/>
  <c r="I29"/>
  <c r="H36"/>
  <c r="G37"/>
  <c r="G38"/>
  <c r="G36"/>
  <c r="H38"/>
  <c r="H37"/>
  <c r="C374" i="1"/>
  <c r="J342"/>
  <c r="M15" i="8"/>
  <c r="L15"/>
  <c r="F3"/>
  <c r="O3" s="1"/>
  <c r="E3"/>
  <c r="E4" s="1"/>
  <c r="D3"/>
  <c r="D4" s="1"/>
  <c r="D5" s="1"/>
  <c r="D6" s="1"/>
  <c r="D7" s="1"/>
  <c r="D8" s="1"/>
  <c r="D9" s="1"/>
  <c r="P2"/>
  <c r="O2"/>
  <c r="N2"/>
  <c r="K2"/>
  <c r="K3" s="1"/>
  <c r="K4" s="1"/>
  <c r="K5" s="1"/>
  <c r="K6" s="1"/>
  <c r="K7" s="1"/>
  <c r="K8" s="1"/>
  <c r="K9" s="1"/>
  <c r="J2"/>
  <c r="K8" i="5"/>
  <c r="H35" i="6" l="1"/>
  <c r="L17" i="8"/>
  <c r="M17"/>
  <c r="E5"/>
  <c r="P4"/>
  <c r="N3"/>
  <c r="M16"/>
  <c r="F4"/>
  <c r="L16"/>
  <c r="J3"/>
  <c r="P3"/>
  <c r="F7" i="5"/>
  <c r="C342" i="1"/>
  <c r="J337"/>
  <c r="C337"/>
  <c r="C373"/>
  <c r="C372"/>
  <c r="J336"/>
  <c r="C380"/>
  <c r="K9" i="5"/>
  <c r="G33" i="6"/>
  <c r="H33" s="1"/>
  <c r="G34"/>
  <c r="H34" s="1"/>
  <c r="G32"/>
  <c r="H32" s="1"/>
  <c r="G31"/>
  <c r="H31" s="1"/>
  <c r="E6" i="8" l="1"/>
  <c r="P5"/>
  <c r="L18"/>
  <c r="M18"/>
  <c r="F5"/>
  <c r="N4"/>
  <c r="O4"/>
  <c r="J4"/>
  <c r="E8" i="5"/>
  <c r="E9" s="1"/>
  <c r="P9" s="1"/>
  <c r="H30" i="6"/>
  <c r="G30"/>
  <c r="C379" i="1"/>
  <c r="I24" i="6"/>
  <c r="H24"/>
  <c r="C336" i="1"/>
  <c r="C378"/>
  <c r="C377"/>
  <c r="J327"/>
  <c r="C376"/>
  <c r="C375"/>
  <c r="C371"/>
  <c r="C370"/>
  <c r="C353"/>
  <c r="J324"/>
  <c r="J323"/>
  <c r="J318"/>
  <c r="B317"/>
  <c r="J317" s="1"/>
  <c r="C368"/>
  <c r="C318"/>
  <c r="J305"/>
  <c r="C369"/>
  <c r="C305"/>
  <c r="J304"/>
  <c r="C304"/>
  <c r="J303"/>
  <c r="C302"/>
  <c r="J302"/>
  <c r="J301"/>
  <c r="C301"/>
  <c r="C300"/>
  <c r="J300"/>
  <c r="C299"/>
  <c r="J299"/>
  <c r="J298"/>
  <c r="C298"/>
  <c r="G23" i="6"/>
  <c r="H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H22" i="6"/>
  <c r="G22"/>
  <c r="I22" s="1"/>
  <c r="J272" i="1"/>
  <c r="C272"/>
  <c r="C367"/>
  <c r="G20" i="6"/>
  <c r="I20" s="1"/>
  <c r="G21"/>
  <c r="H21" s="1"/>
  <c r="C281" i="1"/>
  <c r="C275"/>
  <c r="O5" i="8" l="1"/>
  <c r="J5"/>
  <c r="F6"/>
  <c r="N5"/>
  <c r="L19"/>
  <c r="M19"/>
  <c r="E7"/>
  <c r="P6"/>
  <c r="I23" i="6"/>
  <c r="I21"/>
  <c r="H20"/>
  <c r="C274" i="1"/>
  <c r="C273"/>
  <c r="J271"/>
  <c r="J270"/>
  <c r="C270"/>
  <c r="J269"/>
  <c r="C269"/>
  <c r="J268"/>
  <c r="C268"/>
  <c r="C343"/>
  <c r="G26" i="6"/>
  <c r="I26" s="1"/>
  <c r="C271" i="1"/>
  <c r="J266"/>
  <c r="C266"/>
  <c r="J265"/>
  <c r="G29" i="6"/>
  <c r="H29" s="1"/>
  <c r="G28"/>
  <c r="H28" s="1"/>
  <c r="G27"/>
  <c r="H27" s="1"/>
  <c r="G19"/>
  <c r="H19" s="1"/>
  <c r="G18"/>
  <c r="H18" s="1"/>
  <c r="R21" i="5"/>
  <c r="R20"/>
  <c r="Q20"/>
  <c r="P7"/>
  <c r="E3"/>
  <c r="E4" s="1"/>
  <c r="E5" s="1"/>
  <c r="E6" s="1"/>
  <c r="F8"/>
  <c r="D7"/>
  <c r="D8" s="1"/>
  <c r="D9" s="1"/>
  <c r="Q8" l="1"/>
  <c r="R8"/>
  <c r="O8"/>
  <c r="E8" i="8"/>
  <c r="P7"/>
  <c r="L20"/>
  <c r="M20"/>
  <c r="F7"/>
  <c r="N6"/>
  <c r="O6"/>
  <c r="J6"/>
  <c r="F9" i="5"/>
  <c r="N7"/>
  <c r="R7"/>
  <c r="J7"/>
  <c r="Q7"/>
  <c r="O7"/>
  <c r="H26" i="6"/>
  <c r="P8" i="5"/>
  <c r="N8"/>
  <c r="M29"/>
  <c r="K26"/>
  <c r="B264" i="1"/>
  <c r="J264" s="1"/>
  <c r="J261"/>
  <c r="C314"/>
  <c r="J255"/>
  <c r="J257"/>
  <c r="J258"/>
  <c r="J259"/>
  <c r="J260"/>
  <c r="J256"/>
  <c r="G15" i="6"/>
  <c r="H15" s="1"/>
  <c r="G14"/>
  <c r="H14" s="1"/>
  <c r="O7" i="8" l="1"/>
  <c r="J7"/>
  <c r="F8"/>
  <c r="N7"/>
  <c r="M21"/>
  <c r="E9"/>
  <c r="P9" s="1"/>
  <c r="P8"/>
  <c r="Q9" i="5"/>
  <c r="M26"/>
  <c r="O9"/>
  <c r="J9"/>
  <c r="R9"/>
  <c r="N9"/>
  <c r="C313" i="1"/>
  <c r="B254"/>
  <c r="J254" s="1"/>
  <c r="J250"/>
  <c r="C250"/>
  <c r="J249"/>
  <c r="C249"/>
  <c r="C326"/>
  <c r="C311"/>
  <c r="C261"/>
  <c r="C312"/>
  <c r="B248"/>
  <c r="J248" s="1"/>
  <c r="C310"/>
  <c r="C366"/>
  <c r="C365"/>
  <c r="C309"/>
  <c r="C308"/>
  <c r="C247"/>
  <c r="C307"/>
  <c r="C246"/>
  <c r="C364"/>
  <c r="C363"/>
  <c r="C321"/>
  <c r="C319"/>
  <c r="C320"/>
  <c r="C362"/>
  <c r="J245"/>
  <c r="B244"/>
  <c r="J244" s="1"/>
  <c r="C243"/>
  <c r="C349"/>
  <c r="J241"/>
  <c r="C241"/>
  <c r="C325"/>
  <c r="C245"/>
  <c r="B240"/>
  <c r="J240" s="1"/>
  <c r="C242"/>
  <c r="C238"/>
  <c r="F9" i="8" l="1"/>
  <c r="N8"/>
  <c r="O8"/>
  <c r="J8"/>
  <c r="C322" i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52"/>
  <c r="C227"/>
  <c r="C239"/>
  <c r="C226"/>
  <c r="C351"/>
  <c r="C350"/>
  <c r="C224"/>
  <c r="C348"/>
  <c r="C347"/>
  <c r="C346"/>
  <c r="C345"/>
  <c r="C344"/>
  <c r="C361"/>
  <c r="C222"/>
  <c r="J221"/>
  <c r="C221"/>
  <c r="C287"/>
  <c r="C360"/>
  <c r="C284"/>
  <c r="C265"/>
  <c r="C283"/>
  <c r="C262"/>
  <c r="C282"/>
  <c r="C263"/>
  <c r="C251"/>
  <c r="C359"/>
  <c r="C358"/>
  <c r="C286"/>
  <c r="C285"/>
  <c r="J219"/>
  <c r="J220"/>
  <c r="J218"/>
  <c r="J217"/>
  <c r="J212"/>
  <c r="J211"/>
  <c r="J209"/>
  <c r="J208"/>
  <c r="G13" i="6"/>
  <c r="H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G17" i="6"/>
  <c r="H17" s="1"/>
  <c r="G16"/>
  <c r="H16" s="1"/>
  <c r="J169" i="1"/>
  <c r="J170"/>
  <c r="J168"/>
  <c r="J167"/>
  <c r="J166"/>
  <c r="J164"/>
  <c r="J165"/>
  <c r="R2" i="5"/>
  <c r="J163" i="1"/>
  <c r="J162"/>
  <c r="J161"/>
  <c r="J160"/>
  <c r="R16" i="5"/>
  <c r="R17"/>
  <c r="R18"/>
  <c r="Q16"/>
  <c r="Q17"/>
  <c r="Q18"/>
  <c r="Q19"/>
  <c r="R15"/>
  <c r="Q15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G3" i="6"/>
  <c r="H3" s="1"/>
  <c r="G5"/>
  <c r="H5" s="1"/>
  <c r="G6"/>
  <c r="H6" s="1"/>
  <c r="G7"/>
  <c r="H7" s="1"/>
  <c r="G9"/>
  <c r="H9" s="1"/>
  <c r="G10"/>
  <c r="H10" s="1"/>
  <c r="G11"/>
  <c r="H11" s="1"/>
  <c r="G12"/>
  <c r="I12" s="1"/>
  <c r="G4"/>
  <c r="H4" s="1"/>
  <c r="G8"/>
  <c r="H8" s="1"/>
  <c r="G2"/>
  <c r="H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O9" i="8" l="1"/>
  <c r="J9"/>
  <c r="N9"/>
  <c r="H12" i="6"/>
  <c r="J235" i="1"/>
  <c r="I13" i="6"/>
  <c r="J8" i="5"/>
  <c r="E7"/>
  <c r="R19"/>
  <c r="K6"/>
  <c r="K7" s="1"/>
</calcChain>
</file>

<file path=xl/sharedStrings.xml><?xml version="1.0" encoding="utf-8"?>
<sst xmlns="http://schemas.openxmlformats.org/spreadsheetml/2006/main" count="1100" uniqueCount="432">
  <si>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</si>
  <si>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</si>
  <si>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</si>
  <si>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</si>
  <si>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</si>
  <si>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</si>
  <si>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</si>
  <si>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</si>
  <si>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</si>
  <si>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</si>
  <si>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</si>
  <si>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</si>
  <si>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</si>
  <si>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</si>
  <si>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</si>
  <si>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</si>
  <si>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</si>
  <si>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</si>
  <si>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</si>
  <si>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</si>
  <si>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</si>
  <si>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</si>
  <si>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</si>
  <si>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</si>
  <si>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</si>
  <si>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</si>
  <si>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</si>
  <si>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</si>
  <si>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</si>
  <si>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</si>
  <si>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</si>
  <si>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</si>
  <si>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</si>
  <si>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</si>
  <si>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</si>
  <si>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</si>
  <si>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</si>
  <si>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</si>
  <si>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</si>
  <si>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</si>
  <si>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</si>
  <si>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</si>
  <si>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</si>
  <si>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</si>
  <si>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</si>
  <si>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</si>
  <si>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</si>
  <si>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</si>
  <si>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</si>
  <si>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</si>
  <si>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</si>
  <si>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</si>
  <si>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</si>
  <si>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</si>
  <si>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</si>
  <si>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</si>
  <si>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</si>
  <si>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</si>
  <si>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</si>
  <si>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</si>
  <si>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</si>
  <si>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</si>
  <si>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</si>
  <si>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</si>
  <si>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</si>
  <si>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</si>
  <si>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</si>
  <si>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</si>
  <si>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</si>
  <si>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</si>
  <si>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</si>
  <si>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</si>
  <si>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</si>
  <si>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</si>
  <si>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</si>
  <si>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</si>
  <si>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</si>
  <si>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</si>
  <si>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</si>
  <si>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</si>
  <si>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</si>
  <si>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</si>
  <si>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</si>
  <si>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</si>
  <si>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</si>
  <si>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</si>
  <si>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</si>
  <si>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</si>
  <si>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</si>
  <si>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</si>
  <si>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</si>
  <si>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</si>
  <si>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</si>
  <si>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</si>
  <si>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</si>
  <si>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</si>
  <si>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</si>
  <si>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</si>
  <si>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</si>
  <si>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</si>
  <si>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</si>
  <si>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</si>
  <si>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</si>
  <si>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</si>
  <si>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</si>
  <si>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</si>
  <si>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</si>
  <si>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</si>
  <si>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</si>
  <si>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</si>
  <si>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</si>
  <si>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</si>
  <si>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</si>
  <si>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</si>
  <si>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</si>
  <si>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</si>
  <si>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</si>
  <si>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</si>
  <si>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</si>
  <si>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</si>
  <si>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</si>
  <si>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</si>
  <si>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</si>
  <si>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</si>
  <si>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</si>
  <si>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</si>
  <si>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</si>
  <si>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</si>
  <si>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</si>
  <si>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</si>
  <si>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</si>
  <si>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</si>
  <si>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</si>
  <si>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</si>
  <si>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</si>
  <si>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</si>
  <si>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</si>
  <si>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</si>
  <si>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</si>
  <si>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</si>
  <si>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</si>
  <si>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</si>
  <si>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</si>
  <si>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</si>
  <si>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</si>
  <si>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</si>
  <si>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</si>
  <si>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</si>
  <si>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</si>
  <si>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</si>
  <si>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</si>
  <si>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</si>
  <si>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</si>
  <si>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</si>
  <si>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</si>
  <si>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</si>
  <si>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</si>
  <si>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</si>
  <si>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</si>
  <si>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</si>
  <si>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</si>
  <si>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</si>
  <si>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</si>
  <si>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</si>
  <si>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</si>
  <si>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</si>
  <si>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</si>
  <si>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</si>
  <si>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</si>
  <si>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</si>
  <si>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</si>
  <si>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</si>
  <si>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</si>
  <si>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</si>
  <si>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</si>
  <si>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</si>
  <si>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</si>
  <si>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</si>
  <si>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</si>
  <si>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</si>
  <si>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</si>
  <si>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</si>
  <si>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</si>
  <si>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</si>
  <si>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</si>
  <si>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</si>
  <si>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</si>
  <si>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</si>
  <si>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</si>
  <si>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</si>
  <si>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</si>
  <si>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</si>
  <si>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</si>
  <si>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</si>
  <si>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</si>
  <si>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</si>
  <si>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</si>
  <si>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</si>
  <si>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</si>
  <si>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</si>
  <si>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</si>
  <si>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</si>
  <si>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</si>
  <si>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</si>
  <si>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</si>
  <si>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</si>
  <si>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</si>
  <si>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</si>
  <si>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</si>
  <si>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</si>
  <si>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</si>
  <si>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</si>
  <si>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</si>
  <si>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</si>
  <si>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</si>
  <si>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</si>
  <si>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</si>
  <si>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</si>
  <si>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</si>
  <si>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</si>
  <si>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</si>
  <si>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</si>
  <si>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</si>
  <si>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</si>
  <si>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</si>
  <si>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</si>
  <si>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</si>
  <si>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</si>
  <si>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</si>
  <si>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</si>
  <si>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</si>
  <si>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</si>
  <si>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</si>
  <si>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</si>
  <si>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</si>
  <si>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</si>
  <si>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</si>
  <si>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</si>
  <si>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</si>
  <si>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</si>
  <si>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</si>
  <si>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</si>
  <si>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</si>
  <si>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</si>
  <si>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</si>
  <si>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</si>
  <si>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</si>
  <si>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</si>
  <si>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</si>
  <si>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</si>
  <si>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</si>
  <si>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</si>
  <si>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</si>
  <si>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</si>
  <si>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</si>
  <si>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</si>
  <si>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</si>
  <si>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</si>
  <si>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</si>
  <si>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</si>
  <si>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</si>
  <si>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</si>
  <si>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</si>
  <si>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</si>
  <si>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</si>
  <si>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</si>
  <si>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</si>
  <si>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</si>
  <si>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</si>
  <si>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</si>
  <si>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</si>
  <si>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</si>
  <si>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</si>
  <si>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</si>
  <si>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</si>
  <si>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</si>
  <si>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</si>
  <si>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</si>
  <si>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</si>
  <si>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</si>
  <si>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</si>
  <si>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</si>
  <si>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</si>
  <si>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</si>
  <si>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</si>
  <si>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</si>
  <si>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</si>
  <si>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</si>
  <si>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</si>
  <si>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</si>
  <si>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</si>
  <si>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</si>
  <si>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</si>
  <si>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</si>
  <si>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</si>
  <si>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</si>
  <si>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</si>
  <si>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</si>
  <si>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</si>
  <si>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</si>
  <si>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</si>
  <si>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</si>
  <si>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</si>
  <si>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</si>
  <si>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</si>
  <si>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</si>
  <si>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</si>
  <si>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</si>
  <si>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</si>
  <si>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</si>
  <si>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</si>
  <si>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</si>
  <si>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</si>
  <si>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</si>
  <si>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</si>
  <si>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</si>
  <si>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</si>
  <si>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</si>
  <si>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</si>
  <si>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</si>
  <si>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</si>
  <si>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</si>
  <si>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</si>
  <si>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</si>
  <si>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</si>
  <si>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</si>
  <si>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</si>
  <si>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</si>
  <si>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</si>
  <si>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</si>
  <si>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</si>
  <si>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</si>
  <si>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</si>
  <si>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</si>
  <si>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</si>
  <si>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</si>
  <si>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</si>
  <si>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</si>
  <si>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</si>
  <si>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</si>
  <si>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</si>
  <si>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</si>
  <si>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</si>
  <si>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</si>
  <si>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</si>
  <si>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</si>
  <si>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</si>
  <si>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</si>
  <si>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</si>
  <si>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</si>
  <si>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</si>
  <si>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</si>
  <si>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</si>
  <si>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</si>
  <si>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</si>
  <si>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</si>
  <si>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</si>
  <si>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</si>
  <si>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</si>
  <si>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</si>
  <si>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</si>
  <si>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</si>
  <si>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</si>
  <si>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</si>
  <si>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</si>
  <si>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</si>
  <si>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</si>
  <si>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</si>
  <si>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</si>
  <si>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</si>
  <si>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</si>
  <si>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</si>
  <si>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</si>
  <si>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</si>
  <si>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</si>
  <si>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</si>
  <si>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</si>
  <si>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</si>
  <si>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</si>
  <si>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</si>
  <si>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</si>
  <si>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</si>
  <si>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</si>
  <si>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</si>
  <si>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</si>
  <si>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</si>
  <si>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</si>
  <si>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</si>
  <si>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</si>
  <si>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</si>
  <si>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</si>
  <si>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</si>
  <si>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</si>
  <si>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</si>
  <si>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</si>
  <si>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</si>
  <si>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</si>
  <si>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</si>
  <si>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</si>
  <si>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</si>
  <si>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</si>
  <si>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</si>
  <si>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</si>
  <si>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</si>
  <si>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</si>
  <si>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</si>
  <si>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</si>
  <si>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(4119旭富)19張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</si>
  <si>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</si>
  <si>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</si>
  <si>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</si>
  <si>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投資通訊行(品讚總部)(總共63.5萬, 我37.5跟我姊6, 維修20)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</si>
  <si>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</si>
  <si>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</si>
  <si>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</si>
  <si>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</si>
  <si>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</si>
  <si>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通訊行傭金退傭</t>
    <phoneticPr fontId="1" type="noConversion"/>
  </si>
  <si>
    <t>Sara Liang</t>
    <phoneticPr fontId="1" type="noConversion"/>
  </si>
  <si>
    <t>梁鳳真(一銀 轉帳)</t>
    <phoneticPr fontId="1" type="noConversion"/>
  </si>
  <si>
    <t>Grace Cheng</t>
    <phoneticPr fontId="1" type="noConversion"/>
  </si>
  <si>
    <t>穩懋減資</t>
    <phoneticPr fontId="1" type="noConversion"/>
  </si>
  <si>
    <t>(3105穩懋)694股  本來1張,減資後變成694股</t>
    <phoneticPr fontId="1" type="noConversion"/>
  </si>
  <si>
    <t>鄭君儀(中信 轉帳)</t>
    <phoneticPr fontId="1" type="noConversion"/>
  </si>
  <si>
    <t>2016信用貸款每月出資轉認股</t>
    <phoneticPr fontId="1" type="noConversion"/>
  </si>
  <si>
    <t>2017</t>
    <phoneticPr fontId="1" type="noConversion"/>
  </si>
  <si>
    <t>增資記股年分</t>
    <phoneticPr fontId="1" type="noConversion"/>
  </si>
  <si>
    <t>期末資本公積</t>
    <phoneticPr fontId="1" type="noConversion"/>
  </si>
  <si>
    <t xml:space="preserve">2016匯豐信貸成本 </t>
    <phoneticPr fontId="1" type="noConversion"/>
  </si>
  <si>
    <t>通訊行認列部分虧損</t>
    <phoneticPr fontId="1" type="noConversion"/>
  </si>
  <si>
    <t>20171/10</t>
    <phoneticPr fontId="1" type="noConversion"/>
  </si>
  <si>
    <t>(4972湯石)0.452張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</si>
</sst>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149903232"/>
        <c:axId val="149904768"/>
      </c:lineChart>
      <c:catAx>
        <c:axId val="149903232"/>
        <c:scaling>
          <c:orientation val="minMax"/>
        </c:scaling>
        <c:axPos val="b"/>
        <c:tickLblPos val="nextTo"/>
        <c:crossAx val="149904768"/>
        <c:crosses val="autoZero"/>
        <c:auto val="1"/>
        <c:lblAlgn val="ctr"/>
        <c:lblOffset val="100"/>
      </c:catAx>
      <c:valAx>
        <c:axId val="149904768"/>
        <c:scaling>
          <c:orientation val="minMax"/>
        </c:scaling>
        <c:axPos val="l"/>
        <c:majorGridlines/>
        <c:numFmt formatCode="General" sourceLinked="1"/>
        <c:tickLblPos val="nextTo"/>
        <c:crossAx val="149903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150942464"/>
        <c:axId val="150944000"/>
      </c:lineChart>
      <c:catAx>
        <c:axId val="150942464"/>
        <c:scaling>
          <c:orientation val="minMax"/>
        </c:scaling>
        <c:axPos val="b"/>
        <c:tickLblPos val="nextTo"/>
        <c:crossAx val="150944000"/>
        <c:crosses val="autoZero"/>
        <c:auto val="1"/>
        <c:lblAlgn val="ctr"/>
        <c:lblOffset val="100"/>
      </c:catAx>
      <c:valAx>
        <c:axId val="150944000"/>
        <c:scaling>
          <c:orientation val="minMax"/>
        </c:scaling>
        <c:axPos val="l"/>
        <c:majorGridlines/>
        <c:numFmt formatCode="General" sourceLinked="1"/>
        <c:tickLblPos val="nextTo"/>
        <c:crossAx val="1509424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25"/>
  <sheetViews>
    <sheetView topLeftCell="A335" zoomScale="85" zoomScaleNormal="85" workbookViewId="0">
      <selection activeCell="O346" sqref="O346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359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392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390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326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325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319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322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327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328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329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332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332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342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342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332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343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332</v>
      </c>
    </row>
    <row r="192" spans="1:11">
      <c r="A192" s="1">
        <v>41964</v>
      </c>
      <c r="D192" s="1">
        <v>42185</v>
      </c>
      <c r="J192">
        <v>-10196</v>
      </c>
      <c r="K192" s="12" t="s">
        <v>344</v>
      </c>
    </row>
    <row r="193" spans="1:11">
      <c r="A193" s="1">
        <v>41956</v>
      </c>
      <c r="D193" s="1">
        <v>42186</v>
      </c>
      <c r="J193">
        <v>-19427</v>
      </c>
      <c r="K193" s="12" t="s">
        <v>345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342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332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332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348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350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348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348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351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329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350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355</v>
      </c>
    </row>
    <row r="214" spans="1:11">
      <c r="A214" s="1">
        <v>42235</v>
      </c>
      <c r="D214" s="1"/>
      <c r="J214">
        <v>14032</v>
      </c>
      <c r="K214" t="s">
        <v>356</v>
      </c>
    </row>
    <row r="215" spans="1:11">
      <c r="A215" s="1">
        <v>42236</v>
      </c>
      <c r="D215" s="1"/>
      <c r="J215">
        <v>40760</v>
      </c>
      <c r="K215" t="s">
        <v>357</v>
      </c>
    </row>
    <row r="216" spans="1:11">
      <c r="A216" s="1">
        <v>42236</v>
      </c>
      <c r="D216" s="1"/>
      <c r="J216">
        <v>252157</v>
      </c>
      <c r="K216" t="s">
        <v>357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352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352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352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361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360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351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362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360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351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332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365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364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366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363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367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346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368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351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370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372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404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351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375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375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403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358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351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332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332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332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402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377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378</v>
      </c>
    </row>
    <row r="258" spans="1:12" s="5" customFormat="1">
      <c r="A258" s="4">
        <v>42369</v>
      </c>
      <c r="B258" s="5">
        <v>15722</v>
      </c>
      <c r="J258" s="5">
        <f t="shared" si="6"/>
        <v>-15722</v>
      </c>
      <c r="K258" s="15" t="s">
        <v>398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379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380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332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332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332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402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353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386</v>
      </c>
    </row>
    <row r="267" spans="1:12">
      <c r="A267" s="1">
        <v>42370</v>
      </c>
      <c r="D267" s="1"/>
      <c r="J267" s="5"/>
      <c r="K267" s="12" t="s">
        <v>389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386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386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386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353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351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386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348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351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401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393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395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351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394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342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332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332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332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358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332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332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402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386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386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394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394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394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394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394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401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396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395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342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397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342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332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351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343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342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374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351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351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351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351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351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351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351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351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394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394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401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399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342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373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332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349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405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406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369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342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409</v>
      </c>
    </row>
    <row r="328" spans="1:12">
      <c r="A328" s="1">
        <v>42594</v>
      </c>
      <c r="D328" s="1"/>
      <c r="J328">
        <v>281990</v>
      </c>
      <c r="K328" t="s">
        <v>357</v>
      </c>
    </row>
    <row r="329" spans="1:12">
      <c r="A329" s="1">
        <v>42594</v>
      </c>
      <c r="D329" s="1"/>
      <c r="J329">
        <v>60314</v>
      </c>
      <c r="K329" t="s">
        <v>357</v>
      </c>
    </row>
    <row r="330" spans="1:12">
      <c r="A330" s="1">
        <v>42601</v>
      </c>
      <c r="D330" s="1"/>
      <c r="J330">
        <v>71369</v>
      </c>
      <c r="K330" t="s">
        <v>412</v>
      </c>
    </row>
    <row r="331" spans="1:12">
      <c r="A331" s="1">
        <v>42611</v>
      </c>
      <c r="D331" s="1"/>
      <c r="J331">
        <v>93117</v>
      </c>
      <c r="K331" t="s">
        <v>413</v>
      </c>
    </row>
    <row r="332" spans="1:12">
      <c r="A332" s="1">
        <v>42611</v>
      </c>
      <c r="D332" s="1"/>
      <c r="J332">
        <v>30941</v>
      </c>
      <c r="K332" t="s">
        <v>413</v>
      </c>
    </row>
    <row r="333" spans="1:12">
      <c r="A333" s="1">
        <v>42611</v>
      </c>
      <c r="D333" s="1"/>
      <c r="J333">
        <v>158</v>
      </c>
      <c r="K333" t="s">
        <v>413</v>
      </c>
    </row>
    <row r="334" spans="1:12">
      <c r="A334" s="1">
        <v>42602</v>
      </c>
      <c r="D334" s="1"/>
      <c r="J334">
        <v>2000</v>
      </c>
      <c r="K334" t="s">
        <v>417</v>
      </c>
    </row>
    <row r="335" spans="1:12">
      <c r="A335" s="1">
        <v>42636</v>
      </c>
      <c r="D335" s="1"/>
      <c r="J335">
        <v>3093</v>
      </c>
      <c r="K335" t="s">
        <v>421</v>
      </c>
    </row>
    <row r="336" spans="1:12">
      <c r="A336" s="1">
        <v>42612</v>
      </c>
      <c r="B336" s="5">
        <v>62944</v>
      </c>
      <c r="C336">
        <f>B336/1</f>
        <v>62944</v>
      </c>
      <c r="D336" s="1">
        <v>42655</v>
      </c>
      <c r="E336">
        <v>63681</v>
      </c>
      <c r="F336" t="s">
        <v>7</v>
      </c>
      <c r="J336">
        <f>E336-B336</f>
        <v>737</v>
      </c>
      <c r="K336" t="s">
        <v>422</v>
      </c>
      <c r="L336">
        <v>0.69399999999999995</v>
      </c>
    </row>
    <row r="337" spans="1:12">
      <c r="A337" s="1">
        <v>42678</v>
      </c>
      <c r="B337" s="5">
        <v>75653</v>
      </c>
      <c r="C337" s="5">
        <f>B337/1</f>
        <v>75653</v>
      </c>
      <c r="D337" s="1">
        <v>42678</v>
      </c>
      <c r="E337" s="5">
        <v>75708</v>
      </c>
      <c r="F337" t="s">
        <v>7</v>
      </c>
      <c r="J337">
        <f>E337-B337</f>
        <v>55</v>
      </c>
      <c r="K337" t="s">
        <v>221</v>
      </c>
      <c r="L337">
        <v>1</v>
      </c>
    </row>
    <row r="338" spans="1:12">
      <c r="A338" s="1">
        <v>42735</v>
      </c>
      <c r="B338" s="5"/>
      <c r="C338" s="5"/>
      <c r="D338" s="1"/>
      <c r="E338" s="5"/>
      <c r="J338">
        <v>-275000</v>
      </c>
      <c r="K338" t="s">
        <v>429</v>
      </c>
    </row>
    <row r="339" spans="1:12">
      <c r="A339" s="1">
        <v>42735</v>
      </c>
      <c r="B339" s="5"/>
      <c r="C339" s="5"/>
      <c r="D339" s="1"/>
      <c r="E339" s="5"/>
      <c r="J339">
        <v>-15800</v>
      </c>
      <c r="K339" s="15" t="s">
        <v>428</v>
      </c>
    </row>
    <row r="340" spans="1:12">
      <c r="A340" s="1">
        <v>42735</v>
      </c>
      <c r="B340" s="5"/>
      <c r="C340" s="5"/>
      <c r="D340" s="1"/>
      <c r="E340" s="5"/>
      <c r="J340">
        <v>-42830</v>
      </c>
      <c r="K340" s="12" t="s">
        <v>379</v>
      </c>
    </row>
    <row r="341" spans="1:12">
      <c r="A341" s="1">
        <v>42735</v>
      </c>
      <c r="B341" s="5"/>
      <c r="C341" s="5"/>
      <c r="D341" s="1"/>
      <c r="E341" s="5"/>
      <c r="J341">
        <v>-31194</v>
      </c>
      <c r="K341" s="12" t="s">
        <v>380</v>
      </c>
    </row>
    <row r="342" spans="1:12">
      <c r="A342" s="1">
        <v>42683</v>
      </c>
      <c r="B342" s="5">
        <v>73052</v>
      </c>
      <c r="C342">
        <f>B342/1</f>
        <v>73052</v>
      </c>
      <c r="D342" s="1">
        <v>42744</v>
      </c>
      <c r="E342">
        <v>76117</v>
      </c>
      <c r="F342" t="s">
        <v>7</v>
      </c>
      <c r="J342">
        <f>E342-B342</f>
        <v>3065</v>
      </c>
      <c r="K342" t="s">
        <v>410</v>
      </c>
      <c r="L342">
        <v>1</v>
      </c>
    </row>
    <row r="343" spans="1:12">
      <c r="A343" s="1">
        <v>42111</v>
      </c>
      <c r="B343">
        <v>99484</v>
      </c>
      <c r="C343" s="5">
        <f>B343/1</f>
        <v>99484</v>
      </c>
      <c r="D343" s="1"/>
      <c r="E343" s="5"/>
      <c r="F343" t="s">
        <v>7</v>
      </c>
      <c r="K343" t="s">
        <v>221</v>
      </c>
      <c r="L343">
        <v>1</v>
      </c>
    </row>
    <row r="344" spans="1:12">
      <c r="A344" s="1">
        <v>42096</v>
      </c>
      <c r="B344">
        <v>1413154</v>
      </c>
      <c r="C344" s="5">
        <f>B344/15.564</f>
        <v>90796.324852223072</v>
      </c>
      <c r="D344" s="1"/>
      <c r="F344" t="s">
        <v>7</v>
      </c>
      <c r="K344" t="s">
        <v>323</v>
      </c>
      <c r="L344">
        <v>15.564</v>
      </c>
    </row>
    <row r="345" spans="1:12">
      <c r="A345" s="1">
        <v>42115</v>
      </c>
      <c r="B345">
        <v>1031076</v>
      </c>
      <c r="C345" s="5">
        <f>B345/11</f>
        <v>93734.181818181823</v>
      </c>
      <c r="D345" s="1"/>
      <c r="F345" t="s">
        <v>7</v>
      </c>
      <c r="K345" t="s">
        <v>320</v>
      </c>
      <c r="L345">
        <v>11</v>
      </c>
    </row>
    <row r="346" spans="1:12">
      <c r="A346" s="1">
        <v>42116</v>
      </c>
      <c r="B346">
        <v>1310819</v>
      </c>
      <c r="C346" s="5">
        <f>B346/14</f>
        <v>93629.928571428565</v>
      </c>
      <c r="D346" s="1"/>
      <c r="F346" t="s">
        <v>7</v>
      </c>
      <c r="K346" t="s">
        <v>321</v>
      </c>
      <c r="L346">
        <v>14</v>
      </c>
    </row>
    <row r="347" spans="1:12">
      <c r="A347" s="1">
        <v>42121</v>
      </c>
      <c r="B347">
        <v>87875</v>
      </c>
      <c r="C347" s="5">
        <f>B347/1</f>
        <v>87875</v>
      </c>
      <c r="D347" s="1"/>
      <c r="F347" t="s">
        <v>7</v>
      </c>
      <c r="K347" t="s">
        <v>221</v>
      </c>
      <c r="L347">
        <v>1</v>
      </c>
    </row>
    <row r="348" spans="1:12">
      <c r="A348" s="1">
        <v>42122</v>
      </c>
      <c r="B348">
        <v>810692</v>
      </c>
      <c r="C348" s="5">
        <f>B348/9</f>
        <v>90076.888888888891</v>
      </c>
      <c r="D348" s="1"/>
      <c r="F348" t="s">
        <v>7</v>
      </c>
      <c r="K348" t="s">
        <v>324</v>
      </c>
      <c r="L348">
        <v>9</v>
      </c>
    </row>
    <row r="349" spans="1:12">
      <c r="A349" s="1">
        <v>42144</v>
      </c>
      <c r="B349">
        <v>4675</v>
      </c>
      <c r="C349" s="5">
        <f>B349/0.091</f>
        <v>51373.626373626372</v>
      </c>
      <c r="D349" s="1"/>
      <c r="F349" t="s">
        <v>7</v>
      </c>
      <c r="K349" t="s">
        <v>371</v>
      </c>
      <c r="L349">
        <v>9.0999999999999998E-2</v>
      </c>
    </row>
    <row r="350" spans="1:12">
      <c r="A350" s="1">
        <v>42150</v>
      </c>
      <c r="B350">
        <v>1050</v>
      </c>
      <c r="C350" s="5">
        <f>B350/0.054</f>
        <v>19444.444444444445</v>
      </c>
      <c r="D350" s="1"/>
      <c r="F350" t="s">
        <v>7</v>
      </c>
      <c r="K350" t="s">
        <v>330</v>
      </c>
      <c r="L350">
        <v>5.3999999999999999E-2</v>
      </c>
    </row>
    <row r="351" spans="1:12">
      <c r="A351" s="1">
        <v>42156</v>
      </c>
      <c r="B351">
        <v>22340</v>
      </c>
      <c r="C351" s="5">
        <f>B351/0.291</f>
        <v>76769.759450171827</v>
      </c>
      <c r="D351" s="1"/>
      <c r="F351" t="s">
        <v>7</v>
      </c>
      <c r="K351" t="s">
        <v>331</v>
      </c>
      <c r="L351">
        <v>0.29099999999999998</v>
      </c>
    </row>
    <row r="352" spans="1:12">
      <c r="A352" s="1">
        <v>42200</v>
      </c>
      <c r="B352">
        <v>4302</v>
      </c>
      <c r="C352" s="5">
        <f>B352/0.054</f>
        <v>79666.666666666672</v>
      </c>
      <c r="D352" s="1"/>
      <c r="F352" t="s">
        <v>7</v>
      </c>
      <c r="K352" t="s">
        <v>347</v>
      </c>
      <c r="L352">
        <v>5.3999999999999999E-2</v>
      </c>
    </row>
    <row r="353" spans="1:12">
      <c r="A353" s="1">
        <v>42548</v>
      </c>
      <c r="B353">
        <v>418697</v>
      </c>
      <c r="C353" s="5">
        <f>B353/5</f>
        <v>83739.399999999994</v>
      </c>
      <c r="D353" s="1"/>
      <c r="F353" t="s">
        <v>7</v>
      </c>
      <c r="K353" t="s">
        <v>327</v>
      </c>
      <c r="L353">
        <v>5</v>
      </c>
    </row>
    <row r="354" spans="1:12">
      <c r="A354" s="1">
        <v>42235</v>
      </c>
      <c r="B354" s="5">
        <v>0</v>
      </c>
      <c r="C354" s="5"/>
      <c r="D354" s="4"/>
      <c r="E354" s="5"/>
      <c r="K354" t="s">
        <v>354</v>
      </c>
      <c r="L354">
        <v>0.3</v>
      </c>
    </row>
    <row r="355" spans="1:12">
      <c r="A355" s="1">
        <v>42611</v>
      </c>
      <c r="B355" s="5">
        <v>0</v>
      </c>
      <c r="C355" s="5"/>
      <c r="D355" s="4"/>
      <c r="E355" s="5"/>
      <c r="K355" t="s">
        <v>414</v>
      </c>
      <c r="L355">
        <v>1E-3</v>
      </c>
    </row>
    <row r="356" spans="1:12">
      <c r="A356" s="1">
        <v>42611</v>
      </c>
      <c r="B356" s="5">
        <v>0</v>
      </c>
      <c r="C356" s="5"/>
      <c r="D356" s="4"/>
      <c r="E356" s="5"/>
      <c r="K356" t="s">
        <v>415</v>
      </c>
      <c r="L356">
        <v>0.68</v>
      </c>
    </row>
    <row r="357" spans="1:12">
      <c r="A357" s="1">
        <v>42611</v>
      </c>
      <c r="B357" s="5">
        <v>0</v>
      </c>
      <c r="C357" s="5"/>
      <c r="D357" s="4"/>
      <c r="E357" s="5"/>
      <c r="K357" t="s">
        <v>416</v>
      </c>
      <c r="L357">
        <v>0.22600000000000001</v>
      </c>
    </row>
    <row r="358" spans="1:12">
      <c r="A358" s="1">
        <v>42170</v>
      </c>
      <c r="B358" s="5">
        <v>37732</v>
      </c>
      <c r="C358" s="5">
        <f>B358/1</f>
        <v>37732</v>
      </c>
      <c r="D358" s="4"/>
      <c r="E358" s="5"/>
      <c r="F358" t="s">
        <v>7</v>
      </c>
      <c r="K358" t="s">
        <v>332</v>
      </c>
      <c r="L358">
        <v>1</v>
      </c>
    </row>
    <row r="359" spans="1:12">
      <c r="A359" s="1">
        <v>42170</v>
      </c>
      <c r="B359" s="5">
        <v>76965</v>
      </c>
      <c r="C359" s="5">
        <f>B359/2</f>
        <v>38482.5</v>
      </c>
      <c r="D359" s="4"/>
      <c r="E359" s="5"/>
      <c r="F359" t="s">
        <v>7</v>
      </c>
      <c r="K359" t="s">
        <v>342</v>
      </c>
      <c r="L359">
        <v>2</v>
      </c>
    </row>
    <row r="360" spans="1:12">
      <c r="A360" s="1">
        <v>42241</v>
      </c>
      <c r="B360" s="5">
        <v>65856</v>
      </c>
      <c r="C360" s="5">
        <f>B360/2</f>
        <v>32928</v>
      </c>
      <c r="D360" s="4"/>
      <c r="E360" s="5"/>
      <c r="F360" t="s">
        <v>7</v>
      </c>
      <c r="K360" t="s">
        <v>342</v>
      </c>
      <c r="L360">
        <v>2</v>
      </c>
    </row>
    <row r="361" spans="1:12">
      <c r="A361" s="1">
        <v>42249</v>
      </c>
      <c r="B361" s="5">
        <v>135315</v>
      </c>
      <c r="C361" s="5">
        <f>B361/4</f>
        <v>33828.75</v>
      </c>
      <c r="D361" s="4"/>
      <c r="E361" s="5"/>
      <c r="F361" t="s">
        <v>7</v>
      </c>
      <c r="K361" t="s">
        <v>349</v>
      </c>
      <c r="L361">
        <v>4</v>
      </c>
    </row>
    <row r="362" spans="1:12">
      <c r="A362" s="1">
        <v>42312</v>
      </c>
      <c r="B362" s="5">
        <v>168119</v>
      </c>
      <c r="C362" s="5">
        <f>B362/4</f>
        <v>42029.75</v>
      </c>
      <c r="D362" s="4"/>
      <c r="E362" s="5"/>
      <c r="F362" t="s">
        <v>7</v>
      </c>
      <c r="K362" t="s">
        <v>349</v>
      </c>
      <c r="L362">
        <v>4</v>
      </c>
    </row>
    <row r="363" spans="1:12">
      <c r="A363" s="1">
        <v>42314</v>
      </c>
      <c r="B363" s="5">
        <v>39728</v>
      </c>
      <c r="C363" s="5">
        <f>B363/1</f>
        <v>39728</v>
      </c>
      <c r="D363" s="4"/>
      <c r="E363" s="5"/>
      <c r="F363" t="s">
        <v>7</v>
      </c>
      <c r="K363" t="s">
        <v>332</v>
      </c>
      <c r="L363">
        <v>1</v>
      </c>
    </row>
    <row r="364" spans="1:12">
      <c r="A364" s="1">
        <v>42314</v>
      </c>
      <c r="B364" s="5">
        <v>117833</v>
      </c>
      <c r="C364" s="5">
        <f>B364/3</f>
        <v>39277.666666666664</v>
      </c>
      <c r="D364" s="4"/>
      <c r="E364" s="5"/>
      <c r="F364" t="s">
        <v>7</v>
      </c>
      <c r="K364" t="s">
        <v>358</v>
      </c>
      <c r="L364">
        <v>3</v>
      </c>
    </row>
    <row r="365" spans="1:12">
      <c r="A365" s="1">
        <v>42325</v>
      </c>
      <c r="B365" s="5">
        <v>76454</v>
      </c>
      <c r="C365" s="5">
        <f>B365/2</f>
        <v>38227</v>
      </c>
      <c r="D365" s="4"/>
      <c r="E365" s="5"/>
      <c r="F365" t="s">
        <v>7</v>
      </c>
      <c r="K365" t="s">
        <v>342</v>
      </c>
      <c r="L365">
        <v>2</v>
      </c>
    </row>
    <row r="366" spans="1:12">
      <c r="A366" s="1">
        <v>42325</v>
      </c>
      <c r="B366" s="5">
        <v>38377</v>
      </c>
      <c r="C366" s="5">
        <f>B366/1</f>
        <v>38377</v>
      </c>
      <c r="D366" s="4"/>
      <c r="E366" s="5"/>
      <c r="F366" t="s">
        <v>7</v>
      </c>
      <c r="K366" t="s">
        <v>332</v>
      </c>
      <c r="L366">
        <v>1</v>
      </c>
    </row>
    <row r="367" spans="1:12">
      <c r="A367" s="1">
        <v>42418</v>
      </c>
      <c r="B367" s="5">
        <v>37131</v>
      </c>
      <c r="C367" s="5">
        <f>B367/1</f>
        <v>37131</v>
      </c>
      <c r="D367" s="4"/>
      <c r="E367" s="5"/>
      <c r="F367" t="s">
        <v>7</v>
      </c>
      <c r="K367" t="s">
        <v>332</v>
      </c>
      <c r="L367">
        <v>1</v>
      </c>
    </row>
    <row r="368" spans="1:12">
      <c r="A368" s="1">
        <v>42502</v>
      </c>
      <c r="B368" s="5">
        <v>2559</v>
      </c>
      <c r="C368" s="5">
        <f>B368/0.06</f>
        <v>42650</v>
      </c>
      <c r="D368" s="4"/>
      <c r="E368" s="5"/>
      <c r="F368" t="s">
        <v>7</v>
      </c>
      <c r="K368" t="s">
        <v>400</v>
      </c>
      <c r="L368">
        <v>0.06</v>
      </c>
    </row>
    <row r="369" spans="1:12">
      <c r="A369" s="1">
        <v>42503</v>
      </c>
      <c r="B369" s="5">
        <v>41884</v>
      </c>
      <c r="C369" s="5">
        <f>B369/1</f>
        <v>41884</v>
      </c>
      <c r="D369" s="4"/>
      <c r="E369" s="5"/>
      <c r="F369" t="s">
        <v>7</v>
      </c>
      <c r="K369" t="s">
        <v>332</v>
      </c>
      <c r="L369">
        <v>1</v>
      </c>
    </row>
    <row r="370" spans="1:12">
      <c r="A370" s="1">
        <v>42549</v>
      </c>
      <c r="B370" s="5">
        <v>420359</v>
      </c>
      <c r="C370" s="5">
        <f>B370/10</f>
        <v>42035.9</v>
      </c>
      <c r="D370" s="4"/>
      <c r="E370" s="5"/>
      <c r="F370" t="s">
        <v>7</v>
      </c>
      <c r="K370" t="s">
        <v>363</v>
      </c>
      <c r="L370">
        <v>10</v>
      </c>
    </row>
    <row r="371" spans="1:12">
      <c r="A371" s="1">
        <v>42549</v>
      </c>
      <c r="B371" s="5">
        <v>83871</v>
      </c>
      <c r="C371" s="5">
        <f>B371/2</f>
        <v>41935.5</v>
      </c>
      <c r="D371" s="4"/>
      <c r="E371" s="5"/>
      <c r="F371" t="s">
        <v>7</v>
      </c>
      <c r="K371" t="s">
        <v>342</v>
      </c>
      <c r="L371">
        <v>2</v>
      </c>
    </row>
    <row r="372" spans="1:12">
      <c r="A372" s="1">
        <v>42657</v>
      </c>
      <c r="B372" s="5">
        <v>70250</v>
      </c>
      <c r="C372" s="5">
        <f>B372/2</f>
        <v>35125</v>
      </c>
      <c r="D372" s="4"/>
      <c r="E372" s="5"/>
      <c r="F372" t="s">
        <v>7</v>
      </c>
      <c r="K372" t="s">
        <v>342</v>
      </c>
      <c r="L372">
        <v>2</v>
      </c>
    </row>
    <row r="373" spans="1:12">
      <c r="A373" s="1">
        <v>42663</v>
      </c>
      <c r="B373" s="5">
        <v>34624</v>
      </c>
      <c r="C373" s="5">
        <f>B373/1</f>
        <v>34624</v>
      </c>
      <c r="D373" s="4"/>
      <c r="E373" s="5"/>
      <c r="F373" t="s">
        <v>7</v>
      </c>
      <c r="K373" t="s">
        <v>332</v>
      </c>
      <c r="L373">
        <v>1</v>
      </c>
    </row>
    <row r="374" spans="1:12">
      <c r="A374" s="1" t="s">
        <v>430</v>
      </c>
      <c r="B374" s="5">
        <v>15659</v>
      </c>
      <c r="C374" s="5">
        <f>B374/0.452</f>
        <v>34643.805309734511</v>
      </c>
      <c r="D374" s="4"/>
      <c r="E374" s="5"/>
      <c r="F374" t="s">
        <v>7</v>
      </c>
      <c r="K374" t="s">
        <v>431</v>
      </c>
      <c r="L374">
        <v>0.45200000000000001</v>
      </c>
    </row>
    <row r="375" spans="1:12">
      <c r="A375" s="1">
        <v>42550</v>
      </c>
      <c r="B375" s="5">
        <v>1843974</v>
      </c>
      <c r="C375">
        <f>B375/19</f>
        <v>97051.263157894733</v>
      </c>
      <c r="F375" t="s">
        <v>7</v>
      </c>
      <c r="K375" t="s">
        <v>407</v>
      </c>
      <c r="L375">
        <v>19</v>
      </c>
    </row>
    <row r="376" spans="1:12">
      <c r="A376" s="1">
        <v>42580</v>
      </c>
      <c r="B376" s="5">
        <v>435207</v>
      </c>
      <c r="C376">
        <f>B376/5</f>
        <v>87041.4</v>
      </c>
      <c r="F376" t="s">
        <v>7</v>
      </c>
      <c r="K376" t="s">
        <v>408</v>
      </c>
      <c r="L376">
        <v>5</v>
      </c>
    </row>
    <row r="377" spans="1:12">
      <c r="A377" s="1">
        <v>42580</v>
      </c>
      <c r="B377" s="5">
        <v>85961</v>
      </c>
      <c r="C377">
        <f>B377/1</f>
        <v>85961</v>
      </c>
      <c r="F377" t="s">
        <v>7</v>
      </c>
      <c r="K377" t="s">
        <v>410</v>
      </c>
      <c r="L377">
        <v>1</v>
      </c>
    </row>
    <row r="378" spans="1:12">
      <c r="A378" s="1">
        <v>42600</v>
      </c>
      <c r="B378" s="5">
        <v>85060</v>
      </c>
      <c r="C378">
        <f>B378/1</f>
        <v>85060</v>
      </c>
      <c r="F378" t="s">
        <v>7</v>
      </c>
      <c r="K378" t="s">
        <v>410</v>
      </c>
      <c r="L378">
        <v>1</v>
      </c>
    </row>
    <row r="379" spans="1:12">
      <c r="A379" s="1">
        <v>42639</v>
      </c>
      <c r="B379" s="5">
        <v>88462</v>
      </c>
      <c r="C379">
        <f>B379/1</f>
        <v>88462</v>
      </c>
      <c r="F379" t="s">
        <v>7</v>
      </c>
      <c r="K379" t="s">
        <v>410</v>
      </c>
      <c r="L379">
        <v>1</v>
      </c>
    </row>
    <row r="380" spans="1:12">
      <c r="A380" s="1">
        <v>42646</v>
      </c>
      <c r="B380" s="5">
        <v>88763</v>
      </c>
      <c r="C380">
        <f>B380/1</f>
        <v>88763</v>
      </c>
      <c r="F380" t="s">
        <v>7</v>
      </c>
      <c r="K380" t="s">
        <v>410</v>
      </c>
      <c r="L380">
        <v>1</v>
      </c>
    </row>
    <row r="381" spans="1:12">
      <c r="A381" s="1">
        <v>42552</v>
      </c>
      <c r="B381" s="5">
        <v>375000</v>
      </c>
      <c r="K381" t="s">
        <v>411</v>
      </c>
    </row>
    <row r="389" spans="1:11">
      <c r="A389" s="1">
        <v>41177</v>
      </c>
      <c r="B389">
        <v>254.9</v>
      </c>
      <c r="D389" s="1">
        <v>41200</v>
      </c>
      <c r="E389">
        <v>259.39999999999998</v>
      </c>
      <c r="F389" t="s">
        <v>141</v>
      </c>
      <c r="H389">
        <v>22800</v>
      </c>
      <c r="K389" s="5" t="s">
        <v>142</v>
      </c>
    </row>
    <row r="390" spans="1:11">
      <c r="A390" s="1">
        <v>41222</v>
      </c>
      <c r="B390">
        <v>250</v>
      </c>
      <c r="D390" s="1">
        <v>41227</v>
      </c>
      <c r="E390">
        <v>244.9</v>
      </c>
      <c r="F390" t="s">
        <v>133</v>
      </c>
      <c r="H390">
        <v>23900</v>
      </c>
      <c r="K390" s="5" t="s">
        <v>143</v>
      </c>
    </row>
    <row r="391" spans="1:11">
      <c r="A391" s="1">
        <v>41241</v>
      </c>
      <c r="B391">
        <v>257.2</v>
      </c>
      <c r="D391" s="1">
        <v>41247</v>
      </c>
      <c r="E391">
        <v>263</v>
      </c>
      <c r="F391" t="s">
        <v>141</v>
      </c>
      <c r="H391">
        <v>27400</v>
      </c>
      <c r="J391">
        <v>25935</v>
      </c>
      <c r="K391" s="5" t="s">
        <v>153</v>
      </c>
    </row>
    <row r="392" spans="1:11">
      <c r="A392" s="1">
        <v>41306</v>
      </c>
      <c r="B392">
        <v>315.89999999999998</v>
      </c>
      <c r="D392" s="1">
        <v>41309</v>
      </c>
      <c r="E392">
        <v>335</v>
      </c>
      <c r="F392" t="s">
        <v>7</v>
      </c>
      <c r="H392">
        <v>93700</v>
      </c>
    </row>
    <row r="393" spans="1:11">
      <c r="A393" s="1">
        <v>41311</v>
      </c>
      <c r="B393">
        <v>336.6</v>
      </c>
      <c r="D393" s="1">
        <v>41316</v>
      </c>
      <c r="E393">
        <v>325.2</v>
      </c>
      <c r="F393" t="s">
        <v>7</v>
      </c>
      <c r="H393">
        <v>-58800</v>
      </c>
    </row>
    <row r="394" spans="1:11">
      <c r="A394" s="1">
        <v>41313</v>
      </c>
      <c r="B394">
        <v>80500</v>
      </c>
      <c r="D394" s="1">
        <v>41313</v>
      </c>
      <c r="E394">
        <v>80390</v>
      </c>
      <c r="F394" t="s">
        <v>150</v>
      </c>
      <c r="H394">
        <v>3700</v>
      </c>
    </row>
    <row r="395" spans="1:11">
      <c r="A395" s="1">
        <v>41318</v>
      </c>
      <c r="B395">
        <v>81260</v>
      </c>
      <c r="D395" s="1">
        <v>41318</v>
      </c>
      <c r="E395">
        <v>81160</v>
      </c>
      <c r="F395" t="s">
        <v>7</v>
      </c>
      <c r="H395">
        <v>-6800</v>
      </c>
    </row>
    <row r="396" spans="1:11">
      <c r="A396" s="1">
        <v>41332</v>
      </c>
      <c r="B396">
        <v>78490</v>
      </c>
      <c r="D396" s="1">
        <v>41332</v>
      </c>
      <c r="E396">
        <v>78810</v>
      </c>
      <c r="F396" t="s">
        <v>150</v>
      </c>
      <c r="H396">
        <v>-17800</v>
      </c>
    </row>
    <row r="397" spans="1:11">
      <c r="A397" s="1">
        <v>41346</v>
      </c>
      <c r="B397">
        <v>78840</v>
      </c>
      <c r="D397" s="1">
        <v>41346</v>
      </c>
      <c r="E397">
        <v>78940</v>
      </c>
      <c r="F397" t="s">
        <v>7</v>
      </c>
      <c r="H397">
        <v>3200</v>
      </c>
    </row>
    <row r="398" spans="1:11">
      <c r="A398" s="1">
        <v>41347</v>
      </c>
      <c r="B398">
        <v>77310</v>
      </c>
      <c r="D398" s="1">
        <v>41347</v>
      </c>
      <c r="E398">
        <v>77500</v>
      </c>
      <c r="F398" t="s">
        <v>150</v>
      </c>
      <c r="H398">
        <v>-11300</v>
      </c>
    </row>
    <row r="399" spans="1:11">
      <c r="A399" s="1">
        <v>41403</v>
      </c>
      <c r="B399">
        <v>275</v>
      </c>
      <c r="D399" s="1">
        <v>41407</v>
      </c>
      <c r="E399">
        <v>295.8</v>
      </c>
      <c r="F399" t="s">
        <v>7</v>
      </c>
      <c r="H399">
        <v>102200</v>
      </c>
    </row>
    <row r="400" spans="1:11">
      <c r="A400" s="1">
        <v>41411</v>
      </c>
      <c r="B400">
        <v>278</v>
      </c>
      <c r="D400" s="1">
        <v>41411</v>
      </c>
      <c r="E400">
        <v>280</v>
      </c>
      <c r="F400" t="s">
        <v>7</v>
      </c>
      <c r="H400">
        <v>8200</v>
      </c>
    </row>
    <row r="401" spans="1:8">
      <c r="A401" s="1">
        <v>41417</v>
      </c>
      <c r="B401">
        <v>16000</v>
      </c>
      <c r="D401" s="1">
        <v>41417</v>
      </c>
      <c r="E401">
        <v>15700</v>
      </c>
      <c r="F401" t="s">
        <v>7</v>
      </c>
      <c r="H401">
        <v>-31000</v>
      </c>
    </row>
    <row r="402" spans="1:8">
      <c r="A402" s="1">
        <v>41417</v>
      </c>
      <c r="B402">
        <v>15970</v>
      </c>
      <c r="D402" s="1">
        <v>41417</v>
      </c>
      <c r="E402">
        <v>15675</v>
      </c>
      <c r="F402" t="s">
        <v>7</v>
      </c>
      <c r="H402">
        <v>-30500</v>
      </c>
    </row>
    <row r="403" spans="1:8">
      <c r="A403" s="1">
        <v>41446</v>
      </c>
      <c r="B403">
        <v>71660</v>
      </c>
      <c r="D403" s="1">
        <v>41449</v>
      </c>
      <c r="E403">
        <v>71050</v>
      </c>
      <c r="F403" t="s">
        <v>70</v>
      </c>
      <c r="H403">
        <v>28700</v>
      </c>
    </row>
    <row r="404" spans="1:8">
      <c r="A404" s="1">
        <v>41473</v>
      </c>
      <c r="B404">
        <v>243</v>
      </c>
      <c r="D404" s="1">
        <v>41474</v>
      </c>
      <c r="E404">
        <v>253.1</v>
      </c>
      <c r="F404" t="s">
        <v>7</v>
      </c>
      <c r="H404">
        <v>48700</v>
      </c>
    </row>
    <row r="405" spans="1:8">
      <c r="A405" s="1">
        <v>41485</v>
      </c>
      <c r="B405">
        <v>74000</v>
      </c>
      <c r="D405" s="1">
        <v>41486</v>
      </c>
      <c r="E405">
        <v>73650</v>
      </c>
      <c r="F405" t="s">
        <v>7</v>
      </c>
      <c r="H405">
        <v>-19300</v>
      </c>
    </row>
    <row r="406" spans="1:8">
      <c r="A406" s="1">
        <v>41486</v>
      </c>
      <c r="B406">
        <v>73900</v>
      </c>
      <c r="D406" s="1">
        <v>41486</v>
      </c>
      <c r="E406">
        <v>73750</v>
      </c>
      <c r="F406" t="s">
        <v>70</v>
      </c>
      <c r="H406">
        <v>5700</v>
      </c>
    </row>
    <row r="407" spans="1:8">
      <c r="A407" s="1">
        <v>41486</v>
      </c>
      <c r="B407">
        <v>240.5</v>
      </c>
      <c r="D407" s="1">
        <v>41486</v>
      </c>
      <c r="E407">
        <v>243.5</v>
      </c>
      <c r="F407" t="s">
        <v>179</v>
      </c>
      <c r="H407">
        <v>-16800</v>
      </c>
    </row>
    <row r="408" spans="1:8">
      <c r="A408" s="1">
        <v>41487</v>
      </c>
      <c r="B408">
        <v>242.8</v>
      </c>
      <c r="D408" s="1">
        <v>41488</v>
      </c>
      <c r="E408">
        <v>249</v>
      </c>
      <c r="F408" t="s">
        <v>179</v>
      </c>
      <c r="H408">
        <v>-32800</v>
      </c>
    </row>
    <row r="409" spans="1:8">
      <c r="A409" s="1">
        <v>41488</v>
      </c>
      <c r="B409">
        <v>75340</v>
      </c>
      <c r="D409" s="1">
        <v>41488</v>
      </c>
      <c r="E409">
        <v>74860</v>
      </c>
      <c r="F409" t="s">
        <v>174</v>
      </c>
      <c r="H409">
        <v>22200</v>
      </c>
    </row>
    <row r="410" spans="1:8">
      <c r="A410" s="1">
        <v>41502</v>
      </c>
      <c r="B410">
        <v>263</v>
      </c>
      <c r="D410" s="1">
        <v>41502</v>
      </c>
      <c r="E410">
        <v>268</v>
      </c>
      <c r="F410" t="s">
        <v>179</v>
      </c>
      <c r="H410">
        <v>-26800</v>
      </c>
    </row>
    <row r="411" spans="1:8">
      <c r="A411" s="1">
        <v>41507</v>
      </c>
      <c r="B411">
        <v>73900</v>
      </c>
      <c r="D411" s="1">
        <v>41507</v>
      </c>
      <c r="E411">
        <v>74040</v>
      </c>
      <c r="F411" t="s">
        <v>174</v>
      </c>
      <c r="H411">
        <v>5200</v>
      </c>
    </row>
    <row r="412" spans="1:8">
      <c r="A412" s="1">
        <v>41516</v>
      </c>
      <c r="B412">
        <v>270</v>
      </c>
      <c r="D412" s="1">
        <v>41519</v>
      </c>
      <c r="E412">
        <v>273</v>
      </c>
      <c r="F412" t="s">
        <v>174</v>
      </c>
      <c r="H412">
        <v>13200</v>
      </c>
    </row>
    <row r="413" spans="1:8">
      <c r="A413" s="1">
        <v>41528</v>
      </c>
      <c r="B413">
        <v>76980</v>
      </c>
      <c r="D413" s="1">
        <v>41528</v>
      </c>
      <c r="E413">
        <v>76790</v>
      </c>
      <c r="F413" t="s">
        <v>33</v>
      </c>
      <c r="H413">
        <v>-11300</v>
      </c>
    </row>
    <row r="414" spans="1:8">
      <c r="A414" s="1">
        <v>41528</v>
      </c>
      <c r="B414">
        <v>76960</v>
      </c>
      <c r="D414" s="1">
        <v>41528</v>
      </c>
      <c r="E414">
        <v>76990</v>
      </c>
      <c r="F414" t="s">
        <v>33</v>
      </c>
      <c r="H414">
        <v>-300</v>
      </c>
    </row>
    <row r="415" spans="1:8">
      <c r="A415" s="1">
        <v>41529</v>
      </c>
      <c r="B415">
        <v>76920</v>
      </c>
      <c r="D415" s="1">
        <v>41529</v>
      </c>
      <c r="E415">
        <v>76600</v>
      </c>
      <c r="F415" t="s">
        <v>33</v>
      </c>
      <c r="H415">
        <v>-17800</v>
      </c>
    </row>
    <row r="416" spans="1:8">
      <c r="A416" s="1">
        <v>41544</v>
      </c>
      <c r="B416">
        <v>270.2</v>
      </c>
      <c r="D416" s="1">
        <v>41547</v>
      </c>
      <c r="E416">
        <v>267.5</v>
      </c>
      <c r="F416" t="s">
        <v>180</v>
      </c>
      <c r="H416">
        <v>11900</v>
      </c>
    </row>
    <row r="417" spans="1:11">
      <c r="A417" s="6">
        <v>41556</v>
      </c>
      <c r="B417" s="7">
        <v>265</v>
      </c>
      <c r="C417" s="7"/>
      <c r="D417" s="6">
        <v>41557</v>
      </c>
      <c r="E417" s="7">
        <v>260</v>
      </c>
      <c r="F417" s="7" t="s">
        <v>182</v>
      </c>
      <c r="G417" s="7"/>
      <c r="H417" s="7">
        <v>23400</v>
      </c>
    </row>
    <row r="418" spans="1:11">
      <c r="A418" s="6">
        <v>41564</v>
      </c>
      <c r="B418">
        <v>266</v>
      </c>
      <c r="D418" s="6">
        <v>41564</v>
      </c>
      <c r="E418">
        <v>270</v>
      </c>
      <c r="F418" t="s">
        <v>184</v>
      </c>
      <c r="H418">
        <v>-21600</v>
      </c>
    </row>
    <row r="419" spans="1:11">
      <c r="A419" s="6">
        <v>41634</v>
      </c>
      <c r="B419">
        <v>275</v>
      </c>
      <c r="D419" s="6">
        <v>41635</v>
      </c>
      <c r="E419">
        <v>276</v>
      </c>
      <c r="F419" t="s">
        <v>185</v>
      </c>
      <c r="H419">
        <v>3400</v>
      </c>
    </row>
    <row r="420" spans="1:11">
      <c r="A420" t="s">
        <v>186</v>
      </c>
      <c r="J420">
        <v>19035</v>
      </c>
      <c r="K420" s="5" t="s">
        <v>187</v>
      </c>
    </row>
    <row r="421" spans="1:11">
      <c r="A421" s="1">
        <v>41687</v>
      </c>
      <c r="B421">
        <v>80800</v>
      </c>
      <c r="D421" s="1">
        <v>41687</v>
      </c>
      <c r="E421">
        <v>81100</v>
      </c>
      <c r="F421" t="s">
        <v>7</v>
      </c>
      <c r="H421">
        <v>8900</v>
      </c>
    </row>
    <row r="422" spans="1:11">
      <c r="A422" s="1">
        <v>41691</v>
      </c>
      <c r="B422">
        <v>227</v>
      </c>
      <c r="D422" s="1">
        <v>41694</v>
      </c>
      <c r="E422">
        <v>221.1</v>
      </c>
      <c r="F422" t="s">
        <v>203</v>
      </c>
      <c r="H422">
        <v>-31100</v>
      </c>
    </row>
    <row r="423" spans="1:11">
      <c r="A423" t="s">
        <v>230</v>
      </c>
      <c r="J423">
        <v>-5328</v>
      </c>
      <c r="K423" s="5" t="s">
        <v>231</v>
      </c>
    </row>
    <row r="425" spans="1:11">
      <c r="A425" t="s">
        <v>240</v>
      </c>
    </row>
  </sheetData>
  <autoFilter ref="A1:K369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66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70" zoomScaleNormal="70" workbookViewId="0">
      <selection activeCell="H10" sqref="H10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387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427</v>
      </c>
      <c r="I1" s="2" t="s">
        <v>334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385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1052470</v>
      </c>
      <c r="H8">
        <v>201282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>(B8/(F8+I8))*100</f>
        <v>4.1632065851198998</v>
      </c>
      <c r="P8">
        <f t="shared" si="7"/>
        <v>1.0683691925599978</v>
      </c>
      <c r="Q8">
        <f>(F8/E8)*10</f>
        <v>14.932219312690657</v>
      </c>
      <c r="R8">
        <f>((F8+B8-L8)/(E8))*10</f>
        <v>15.000588505250654</v>
      </c>
    </row>
    <row r="9" spans="1:18">
      <c r="A9" s="11" t="s">
        <v>425</v>
      </c>
      <c r="B9">
        <v>3065</v>
      </c>
      <c r="C9">
        <v>0</v>
      </c>
      <c r="D9">
        <f t="shared" si="2"/>
        <v>2688819</v>
      </c>
      <c r="E9">
        <f>E8+G8+M8</f>
        <v>4756770</v>
      </c>
      <c r="F9">
        <f>F8+B8+G8+H8-H7-L8</f>
        <v>6621420</v>
      </c>
      <c r="H9">
        <v>201282</v>
      </c>
      <c r="I9">
        <v>3214176</v>
      </c>
      <c r="J9">
        <f t="shared" si="0"/>
        <v>32.679016096228438</v>
      </c>
      <c r="K9">
        <f t="shared" si="5"/>
        <v>1666433</v>
      </c>
      <c r="L9">
        <v>0</v>
      </c>
      <c r="M9">
        <v>0</v>
      </c>
      <c r="N9">
        <f t="shared" si="6"/>
        <v>4.6289164559867826E-2</v>
      </c>
      <c r="O9">
        <f t="shared" si="1"/>
        <v>3.1162321022538946E-2</v>
      </c>
      <c r="P9">
        <f t="shared" si="7"/>
        <v>6.443447969945993E-3</v>
      </c>
      <c r="Q9">
        <f>(F9/E9)*10</f>
        <v>13.919991927295204</v>
      </c>
      <c r="R9" s="12">
        <f>((F9+B9-L9+K14-K17)/(E9))*10</f>
        <v>10.900922264477785</v>
      </c>
    </row>
    <row r="10" spans="1:18">
      <c r="A10" s="11"/>
      <c r="R10" s="12"/>
    </row>
    <row r="11" spans="1:18">
      <c r="A11" s="11"/>
      <c r="R11" s="12"/>
    </row>
    <row r="13" spans="1:18">
      <c r="K13" s="2" t="s">
        <v>303</v>
      </c>
      <c r="M13" s="2" t="s">
        <v>388</v>
      </c>
      <c r="P13" s="2" t="s">
        <v>309</v>
      </c>
      <c r="Q13" s="2"/>
      <c r="R13" s="2"/>
    </row>
    <row r="14" spans="1:18">
      <c r="K14">
        <v>-1439167</v>
      </c>
      <c r="P14" s="2" t="s">
        <v>310</v>
      </c>
      <c r="Q14" s="2" t="s">
        <v>317</v>
      </c>
      <c r="R14" s="2" t="s">
        <v>318</v>
      </c>
    </row>
    <row r="15" spans="1:18">
      <c r="P15">
        <v>2010</v>
      </c>
      <c r="Q15">
        <f t="shared" ref="Q15:Q20" si="10">L2/(E2/10)</f>
        <v>3</v>
      </c>
      <c r="R15">
        <f t="shared" ref="R15:R21" si="11">M2/(E2/10)</f>
        <v>0</v>
      </c>
    </row>
    <row r="16" spans="1:18">
      <c r="K16" s="2" t="s">
        <v>333</v>
      </c>
      <c r="M16" s="2" t="s">
        <v>338</v>
      </c>
      <c r="N16" s="2" t="s">
        <v>339</v>
      </c>
      <c r="P16">
        <v>2011</v>
      </c>
      <c r="Q16">
        <f t="shared" si="10"/>
        <v>0</v>
      </c>
      <c r="R16">
        <f t="shared" si="11"/>
        <v>0</v>
      </c>
    </row>
    <row r="17" spans="11:18">
      <c r="P17">
        <v>2012</v>
      </c>
      <c r="Q17">
        <f t="shared" si="10"/>
        <v>0</v>
      </c>
      <c r="R17">
        <f t="shared" si="11"/>
        <v>0</v>
      </c>
    </row>
    <row r="18" spans="11:18">
      <c r="P18">
        <v>2013</v>
      </c>
      <c r="Q18">
        <f t="shared" si="10"/>
        <v>0</v>
      </c>
      <c r="R18">
        <f t="shared" si="11"/>
        <v>0</v>
      </c>
    </row>
    <row r="19" spans="11:18">
      <c r="K19" s="2" t="s">
        <v>337</v>
      </c>
      <c r="M19" s="2" t="s">
        <v>340</v>
      </c>
      <c r="P19">
        <v>2014</v>
      </c>
      <c r="Q19">
        <f t="shared" si="10"/>
        <v>0</v>
      </c>
      <c r="R19">
        <f t="shared" si="11"/>
        <v>2</v>
      </c>
    </row>
    <row r="20" spans="11:18">
      <c r="K20">
        <v>0</v>
      </c>
      <c r="P20">
        <v>2015</v>
      </c>
      <c r="Q20">
        <f t="shared" si="10"/>
        <v>0.64</v>
      </c>
      <c r="R20">
        <f t="shared" si="11"/>
        <v>2</v>
      </c>
    </row>
    <row r="21" spans="11:18">
      <c r="P21">
        <v>2016</v>
      </c>
      <c r="Q21">
        <v>1</v>
      </c>
      <c r="R21">
        <f t="shared" si="11"/>
        <v>0</v>
      </c>
    </row>
    <row r="22" spans="11:18">
      <c r="K22" s="2" t="s">
        <v>335</v>
      </c>
      <c r="M22" s="2" t="s">
        <v>341</v>
      </c>
    </row>
    <row r="25" spans="11:18">
      <c r="K25" s="2" t="s">
        <v>336</v>
      </c>
      <c r="M25" s="2" t="s">
        <v>382</v>
      </c>
    </row>
    <row r="26" spans="11:18">
      <c r="K26">
        <f>K23/(F8+B8+K14-K17+K23+K20)*100</f>
        <v>0</v>
      </c>
      <c r="M26">
        <f>K29/(F9+B9+K14+M14-K17+K23+K29)*100</f>
        <v>0</v>
      </c>
    </row>
    <row r="28" spans="11:18">
      <c r="K28" s="2" t="s">
        <v>381</v>
      </c>
      <c r="M28" s="2" t="s">
        <v>384</v>
      </c>
    </row>
    <row r="29" spans="11:18">
      <c r="M29">
        <f>(K29+K32)/(F8+B8+K14+M14-K17+K23+K29+K32)*100</f>
        <v>0</v>
      </c>
    </row>
    <row r="31" spans="11:18">
      <c r="K31" s="2" t="s">
        <v>383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8"/>
  <sheetViews>
    <sheetView topLeftCell="A19" zoomScale="85" zoomScaleNormal="85" workbookViewId="0">
      <selection activeCell="I38" sqref="I12:I38"/>
    </sheetView>
  </sheetViews>
  <sheetFormatPr defaultRowHeight="16.5"/>
  <cols>
    <col min="1" max="1" width="11.625" customWidth="1"/>
    <col min="2" max="5" width="15.375" customWidth="1"/>
    <col min="6" max="6" width="17.625" customWidth="1"/>
    <col min="7" max="8" width="15" customWidth="1"/>
    <col min="10" max="10" width="51.875" customWidth="1"/>
  </cols>
  <sheetData>
    <row r="1" spans="1:10">
      <c r="A1" t="s">
        <v>9</v>
      </c>
      <c r="B1" t="s">
        <v>289</v>
      </c>
      <c r="C1" t="s">
        <v>426</v>
      </c>
      <c r="D1" t="s">
        <v>316</v>
      </c>
      <c r="E1" t="s">
        <v>294</v>
      </c>
      <c r="F1" t="s">
        <v>293</v>
      </c>
      <c r="G1" t="s">
        <v>290</v>
      </c>
      <c r="H1" t="s">
        <v>297</v>
      </c>
      <c r="I1" t="s">
        <v>296</v>
      </c>
    </row>
    <row r="2" spans="1:10">
      <c r="A2" s="1">
        <v>40179</v>
      </c>
      <c r="B2" t="s">
        <v>291</v>
      </c>
      <c r="C2">
        <v>2010</v>
      </c>
      <c r="E2">
        <v>10000</v>
      </c>
      <c r="F2">
        <v>10</v>
      </c>
      <c r="G2">
        <f>E2/F2</f>
        <v>1000</v>
      </c>
      <c r="H2">
        <f>10*G2</f>
        <v>10000</v>
      </c>
    </row>
    <row r="3" spans="1:10">
      <c r="A3" s="1">
        <v>40179</v>
      </c>
      <c r="B3" t="s">
        <v>292</v>
      </c>
      <c r="C3">
        <v>2010</v>
      </c>
      <c r="E3">
        <v>10000</v>
      </c>
      <c r="F3">
        <v>10</v>
      </c>
      <c r="G3">
        <f t="shared" ref="G3:G12" si="0">E3/F3</f>
        <v>1000</v>
      </c>
      <c r="H3">
        <f t="shared" ref="H3:H17" si="1">10*G3</f>
        <v>10000</v>
      </c>
    </row>
    <row r="4" spans="1:10">
      <c r="A4" s="1">
        <v>40909</v>
      </c>
      <c r="B4" t="s">
        <v>291</v>
      </c>
      <c r="C4">
        <v>2012</v>
      </c>
      <c r="E4">
        <v>20000</v>
      </c>
      <c r="F4">
        <v>10</v>
      </c>
      <c r="G4">
        <f t="shared" si="0"/>
        <v>2000</v>
      </c>
      <c r="H4">
        <f t="shared" si="1"/>
        <v>20000</v>
      </c>
    </row>
    <row r="5" spans="1:10">
      <c r="A5" s="1">
        <v>40909</v>
      </c>
      <c r="B5" t="s">
        <v>292</v>
      </c>
      <c r="C5">
        <v>2012</v>
      </c>
      <c r="E5">
        <v>20000</v>
      </c>
      <c r="F5">
        <v>10</v>
      </c>
      <c r="G5">
        <f t="shared" si="0"/>
        <v>2000</v>
      </c>
      <c r="H5">
        <f t="shared" si="1"/>
        <v>20000</v>
      </c>
    </row>
    <row r="6" spans="1:10">
      <c r="A6" s="1">
        <v>41275</v>
      </c>
      <c r="B6" t="s">
        <v>291</v>
      </c>
      <c r="C6">
        <v>2013</v>
      </c>
      <c r="E6">
        <v>40000</v>
      </c>
      <c r="F6">
        <v>10</v>
      </c>
      <c r="G6">
        <f t="shared" si="0"/>
        <v>4000</v>
      </c>
      <c r="H6">
        <f t="shared" si="1"/>
        <v>40000</v>
      </c>
    </row>
    <row r="7" spans="1:10">
      <c r="A7" s="1">
        <v>41275</v>
      </c>
      <c r="B7" t="s">
        <v>292</v>
      </c>
      <c r="C7">
        <v>2013</v>
      </c>
      <c r="E7">
        <v>40000</v>
      </c>
      <c r="F7">
        <v>10</v>
      </c>
      <c r="G7">
        <f t="shared" si="0"/>
        <v>4000</v>
      </c>
      <c r="H7">
        <f t="shared" si="1"/>
        <v>40000</v>
      </c>
    </row>
    <row r="8" spans="1:10">
      <c r="A8" s="1">
        <v>41640</v>
      </c>
      <c r="B8" t="s">
        <v>291</v>
      </c>
      <c r="C8">
        <v>2014</v>
      </c>
      <c r="E8">
        <v>280000</v>
      </c>
      <c r="F8">
        <v>10</v>
      </c>
      <c r="G8">
        <f t="shared" si="0"/>
        <v>28000</v>
      </c>
      <c r="H8">
        <f t="shared" si="1"/>
        <v>280000</v>
      </c>
    </row>
    <row r="9" spans="1:10">
      <c r="A9" s="1">
        <v>41640</v>
      </c>
      <c r="B9" t="s">
        <v>292</v>
      </c>
      <c r="C9">
        <v>2014</v>
      </c>
      <c r="E9">
        <v>280000</v>
      </c>
      <c r="F9">
        <v>10</v>
      </c>
      <c r="G9">
        <f t="shared" si="0"/>
        <v>28000</v>
      </c>
      <c r="H9">
        <f t="shared" si="1"/>
        <v>280000</v>
      </c>
    </row>
    <row r="10" spans="1:10">
      <c r="A10" s="1">
        <v>42005</v>
      </c>
      <c r="B10" t="s">
        <v>291</v>
      </c>
      <c r="C10">
        <v>2015</v>
      </c>
      <c r="E10">
        <v>370000</v>
      </c>
      <c r="F10">
        <v>10</v>
      </c>
      <c r="G10">
        <f t="shared" si="0"/>
        <v>37000</v>
      </c>
      <c r="H10">
        <f t="shared" si="1"/>
        <v>370000</v>
      </c>
    </row>
    <row r="11" spans="1:10">
      <c r="A11" s="1">
        <v>42005</v>
      </c>
      <c r="B11" t="s">
        <v>292</v>
      </c>
      <c r="C11">
        <v>2015</v>
      </c>
      <c r="E11">
        <v>370000</v>
      </c>
      <c r="F11">
        <v>10</v>
      </c>
      <c r="G11">
        <f t="shared" si="0"/>
        <v>37000</v>
      </c>
      <c r="H11">
        <f t="shared" si="1"/>
        <v>370000</v>
      </c>
    </row>
    <row r="12" spans="1:10">
      <c r="A12" s="1">
        <v>42005</v>
      </c>
      <c r="B12" t="s">
        <v>295</v>
      </c>
      <c r="C12">
        <v>2015</v>
      </c>
      <c r="E12">
        <v>50000</v>
      </c>
      <c r="F12">
        <v>16</v>
      </c>
      <c r="G12">
        <f t="shared" si="0"/>
        <v>3125</v>
      </c>
      <c r="H12">
        <f t="shared" si="1"/>
        <v>31250</v>
      </c>
      <c r="I12">
        <f>(F12-10)*G12</f>
        <v>18750</v>
      </c>
    </row>
    <row r="13" spans="1:10">
      <c r="A13" s="1">
        <v>42222</v>
      </c>
      <c r="B13" t="s">
        <v>295</v>
      </c>
      <c r="C13">
        <v>2015</v>
      </c>
      <c r="E13">
        <v>50000</v>
      </c>
      <c r="F13">
        <v>16</v>
      </c>
      <c r="G13">
        <f t="shared" ref="G13:G15" si="2">E13/F13</f>
        <v>3125</v>
      </c>
      <c r="H13">
        <f t="shared" ref="H13:H15" si="3">10*G13</f>
        <v>31250</v>
      </c>
      <c r="I13">
        <f>(F13-10)*G13</f>
        <v>18750</v>
      </c>
    </row>
    <row r="14" spans="1:10">
      <c r="A14" s="1">
        <v>42005</v>
      </c>
      <c r="B14" t="s">
        <v>291</v>
      </c>
      <c r="C14">
        <v>2015</v>
      </c>
      <c r="E14">
        <v>137000</v>
      </c>
      <c r="F14">
        <v>10</v>
      </c>
      <c r="G14">
        <f t="shared" si="2"/>
        <v>13700</v>
      </c>
      <c r="H14">
        <f t="shared" si="3"/>
        <v>137000</v>
      </c>
      <c r="J14" t="s">
        <v>376</v>
      </c>
    </row>
    <row r="15" spans="1:10">
      <c r="A15" s="1">
        <v>42005</v>
      </c>
      <c r="B15" t="s">
        <v>292</v>
      </c>
      <c r="C15">
        <v>2015</v>
      </c>
      <c r="E15">
        <v>137000</v>
      </c>
      <c r="F15">
        <v>10</v>
      </c>
      <c r="G15">
        <f t="shared" si="2"/>
        <v>13700</v>
      </c>
      <c r="H15">
        <f t="shared" si="3"/>
        <v>137000</v>
      </c>
      <c r="J15" t="s">
        <v>376</v>
      </c>
    </row>
    <row r="16" spans="1:10">
      <c r="A16" s="1">
        <v>42111</v>
      </c>
      <c r="B16" t="s">
        <v>291</v>
      </c>
      <c r="D16">
        <v>70000</v>
      </c>
      <c r="F16">
        <v>10</v>
      </c>
      <c r="G16">
        <f>D16/F16</f>
        <v>7000</v>
      </c>
      <c r="H16">
        <f t="shared" si="1"/>
        <v>70000</v>
      </c>
    </row>
    <row r="17" spans="1:10">
      <c r="A17" s="1">
        <v>42111</v>
      </c>
      <c r="B17" t="s">
        <v>292</v>
      </c>
      <c r="D17">
        <v>70000</v>
      </c>
      <c r="F17">
        <v>10</v>
      </c>
      <c r="G17">
        <f>D17/F17</f>
        <v>7000</v>
      </c>
      <c r="H17">
        <f t="shared" si="1"/>
        <v>70000</v>
      </c>
    </row>
    <row r="18" spans="1:10">
      <c r="A18" s="1">
        <v>42370</v>
      </c>
      <c r="B18" t="s">
        <v>291</v>
      </c>
      <c r="C18">
        <v>2016</v>
      </c>
      <c r="E18">
        <v>360000</v>
      </c>
      <c r="F18">
        <v>10</v>
      </c>
      <c r="G18">
        <f t="shared" ref="G18:G19" si="4">E18/F18</f>
        <v>36000</v>
      </c>
      <c r="H18">
        <f t="shared" ref="H18:H29" si="5">10*G18</f>
        <v>360000</v>
      </c>
    </row>
    <row r="19" spans="1:10">
      <c r="A19" s="1">
        <v>42370</v>
      </c>
      <c r="B19" t="s">
        <v>292</v>
      </c>
      <c r="C19">
        <v>2016</v>
      </c>
      <c r="E19">
        <v>360000</v>
      </c>
      <c r="F19">
        <v>10</v>
      </c>
      <c r="G19">
        <f t="shared" si="4"/>
        <v>36000</v>
      </c>
      <c r="H19">
        <f t="shared" si="5"/>
        <v>360000</v>
      </c>
    </row>
    <row r="20" spans="1:10">
      <c r="A20" s="1">
        <v>42417</v>
      </c>
      <c r="B20" t="s">
        <v>295</v>
      </c>
      <c r="C20">
        <v>2016</v>
      </c>
      <c r="E20">
        <v>50000</v>
      </c>
      <c r="F20">
        <v>16</v>
      </c>
      <c r="G20">
        <f>E20/F20</f>
        <v>3125</v>
      </c>
      <c r="H20">
        <f>10*G20</f>
        <v>31250</v>
      </c>
      <c r="I20">
        <f t="shared" ref="I20:I38" si="6">(F20-10)*G20</f>
        <v>18750</v>
      </c>
    </row>
    <row r="21" spans="1:10">
      <c r="A21" s="1">
        <v>42417</v>
      </c>
      <c r="B21" t="s">
        <v>391</v>
      </c>
      <c r="C21">
        <v>2016</v>
      </c>
      <c r="E21">
        <v>50000</v>
      </c>
      <c r="F21">
        <v>16</v>
      </c>
      <c r="G21">
        <f t="shared" ref="G21" si="7">E21/F21</f>
        <v>3125</v>
      </c>
      <c r="H21">
        <f t="shared" ref="H21" si="8">10*G21</f>
        <v>31250</v>
      </c>
      <c r="I21">
        <f t="shared" si="6"/>
        <v>18750</v>
      </c>
    </row>
    <row r="22" spans="1:10">
      <c r="A22" s="1">
        <v>42419</v>
      </c>
      <c r="B22" t="s">
        <v>391</v>
      </c>
      <c r="C22">
        <v>2016</v>
      </c>
      <c r="E22">
        <v>50000</v>
      </c>
      <c r="F22">
        <v>16</v>
      </c>
      <c r="G22">
        <f t="shared" ref="G22:G23" si="9">E22/F22</f>
        <v>3125</v>
      </c>
      <c r="H22">
        <f t="shared" ref="H22:H23" si="10">10*G22</f>
        <v>31250</v>
      </c>
      <c r="I22">
        <f t="shared" si="6"/>
        <v>18750</v>
      </c>
    </row>
    <row r="23" spans="1:10">
      <c r="A23" s="1">
        <v>42443</v>
      </c>
      <c r="B23" t="s">
        <v>391</v>
      </c>
      <c r="C23">
        <v>2016</v>
      </c>
      <c r="E23">
        <v>50000</v>
      </c>
      <c r="F23">
        <v>16</v>
      </c>
      <c r="G23">
        <f t="shared" si="9"/>
        <v>3125</v>
      </c>
      <c r="H23">
        <f t="shared" si="10"/>
        <v>31250</v>
      </c>
      <c r="I23">
        <f t="shared" si="6"/>
        <v>18750</v>
      </c>
    </row>
    <row r="24" spans="1:10" ht="61.5" customHeight="1">
      <c r="A24" s="1">
        <v>42443</v>
      </c>
      <c r="B24" t="s">
        <v>391</v>
      </c>
      <c r="C24">
        <v>2016</v>
      </c>
      <c r="E24">
        <v>50000</v>
      </c>
      <c r="F24">
        <v>16</v>
      </c>
      <c r="G24">
        <v>3125</v>
      </c>
      <c r="H24">
        <f>10*(E24/F24)</f>
        <v>31250</v>
      </c>
      <c r="I24">
        <f>(F24-10)*(E24/F24)</f>
        <v>18750</v>
      </c>
      <c r="J24" s="14"/>
    </row>
    <row r="25" spans="1:10">
      <c r="A25" s="1">
        <v>42622</v>
      </c>
      <c r="B25" t="s">
        <v>418</v>
      </c>
      <c r="C25">
        <v>2016</v>
      </c>
      <c r="E25">
        <v>50000</v>
      </c>
      <c r="F25">
        <v>16</v>
      </c>
      <c r="G25">
        <v>3125</v>
      </c>
      <c r="H25">
        <v>31250</v>
      </c>
      <c r="I25">
        <v>18750</v>
      </c>
      <c r="J25" t="s">
        <v>419</v>
      </c>
    </row>
    <row r="26" spans="1:10">
      <c r="A26" s="1">
        <v>42485</v>
      </c>
      <c r="B26" t="s">
        <v>295</v>
      </c>
      <c r="C26">
        <v>2016</v>
      </c>
      <c r="E26">
        <v>4000</v>
      </c>
      <c r="F26">
        <v>16</v>
      </c>
      <c r="G26">
        <f>E26/F26</f>
        <v>250</v>
      </c>
      <c r="H26">
        <f>10*G26</f>
        <v>2500</v>
      </c>
      <c r="I26">
        <f t="shared" si="6"/>
        <v>1500</v>
      </c>
    </row>
    <row r="27" spans="1:10">
      <c r="A27" s="1">
        <v>42485</v>
      </c>
      <c r="B27" t="s">
        <v>291</v>
      </c>
      <c r="D27">
        <v>185400</v>
      </c>
      <c r="F27">
        <v>10</v>
      </c>
      <c r="G27">
        <f>D27/F27</f>
        <v>18540</v>
      </c>
      <c r="H27">
        <f t="shared" si="5"/>
        <v>185400</v>
      </c>
      <c r="I27">
        <f t="shared" si="6"/>
        <v>0</v>
      </c>
    </row>
    <row r="28" spans="1:10">
      <c r="A28" s="1">
        <v>42485</v>
      </c>
      <c r="B28" t="s">
        <v>292</v>
      </c>
      <c r="D28">
        <v>185400</v>
      </c>
      <c r="F28">
        <v>10</v>
      </c>
      <c r="G28">
        <f>D28/F28</f>
        <v>18540</v>
      </c>
      <c r="H28">
        <f t="shared" si="5"/>
        <v>185400</v>
      </c>
      <c r="I28">
        <f t="shared" si="6"/>
        <v>0</v>
      </c>
    </row>
    <row r="29" spans="1:10">
      <c r="A29" s="1">
        <v>42485</v>
      </c>
      <c r="B29" t="s">
        <v>295</v>
      </c>
      <c r="D29">
        <v>12500</v>
      </c>
      <c r="F29">
        <v>10</v>
      </c>
      <c r="G29">
        <f>D29/F29</f>
        <v>1250</v>
      </c>
      <c r="H29">
        <f t="shared" si="5"/>
        <v>12500</v>
      </c>
      <c r="I29">
        <f t="shared" si="6"/>
        <v>0</v>
      </c>
    </row>
    <row r="30" spans="1:10">
      <c r="A30" s="1">
        <v>42643</v>
      </c>
      <c r="B30" t="s">
        <v>420</v>
      </c>
      <c r="C30">
        <v>2016</v>
      </c>
      <c r="E30">
        <v>100000</v>
      </c>
      <c r="F30">
        <v>16</v>
      </c>
      <c r="G30">
        <f>E30/F30</f>
        <v>6250</v>
      </c>
      <c r="H30">
        <f>10*(E30/F30)</f>
        <v>62500</v>
      </c>
      <c r="I30">
        <f t="shared" si="6"/>
        <v>37500</v>
      </c>
      <c r="J30" t="s">
        <v>423</v>
      </c>
    </row>
    <row r="31" spans="1:10">
      <c r="A31" s="1">
        <v>42370</v>
      </c>
      <c r="B31" t="s">
        <v>291</v>
      </c>
      <c r="C31">
        <v>2016</v>
      </c>
      <c r="E31">
        <v>216000</v>
      </c>
      <c r="F31">
        <v>10</v>
      </c>
      <c r="G31">
        <f t="shared" ref="G31:G38" si="11">E31/F31</f>
        <v>21600</v>
      </c>
      <c r="H31">
        <f t="shared" ref="H31:H38" si="12">10*G31</f>
        <v>216000</v>
      </c>
      <c r="I31">
        <f t="shared" si="6"/>
        <v>0</v>
      </c>
      <c r="J31" t="s">
        <v>424</v>
      </c>
    </row>
    <row r="32" spans="1:10">
      <c r="A32" s="1">
        <v>42370</v>
      </c>
      <c r="B32" t="s">
        <v>292</v>
      </c>
      <c r="C32">
        <v>2016</v>
      </c>
      <c r="E32">
        <v>216000</v>
      </c>
      <c r="F32">
        <v>10</v>
      </c>
      <c r="G32">
        <f t="shared" si="11"/>
        <v>21600</v>
      </c>
      <c r="H32">
        <f t="shared" si="12"/>
        <v>216000</v>
      </c>
      <c r="I32">
        <f t="shared" si="6"/>
        <v>0</v>
      </c>
      <c r="J32" t="s">
        <v>424</v>
      </c>
    </row>
    <row r="33" spans="1:9">
      <c r="A33" s="1">
        <v>42736</v>
      </c>
      <c r="B33" t="s">
        <v>291</v>
      </c>
      <c r="C33">
        <v>2017</v>
      </c>
      <c r="E33">
        <v>300000</v>
      </c>
      <c r="F33">
        <v>10</v>
      </c>
      <c r="G33">
        <f t="shared" si="11"/>
        <v>30000</v>
      </c>
      <c r="H33">
        <f t="shared" si="12"/>
        <v>300000</v>
      </c>
      <c r="I33">
        <f t="shared" si="6"/>
        <v>0</v>
      </c>
    </row>
    <row r="34" spans="1:9">
      <c r="A34" s="1">
        <v>42736</v>
      </c>
      <c r="B34" t="s">
        <v>292</v>
      </c>
      <c r="C34">
        <v>2017</v>
      </c>
      <c r="E34">
        <v>300000</v>
      </c>
      <c r="F34">
        <v>10</v>
      </c>
      <c r="G34">
        <f t="shared" si="11"/>
        <v>30000</v>
      </c>
      <c r="H34">
        <f t="shared" si="12"/>
        <v>300000</v>
      </c>
      <c r="I34">
        <f t="shared" si="6"/>
        <v>0</v>
      </c>
    </row>
    <row r="35" spans="1:9">
      <c r="A35" s="1">
        <v>42736</v>
      </c>
      <c r="B35" t="s">
        <v>391</v>
      </c>
      <c r="C35">
        <v>2017</v>
      </c>
      <c r="E35">
        <v>12500</v>
      </c>
      <c r="F35">
        <v>16</v>
      </c>
      <c r="G35">
        <f>ROUND(E35/F35,0)</f>
        <v>781</v>
      </c>
      <c r="H35">
        <f t="shared" si="12"/>
        <v>7810</v>
      </c>
      <c r="I35">
        <f t="shared" si="6"/>
        <v>4686</v>
      </c>
    </row>
    <row r="36" spans="1:9">
      <c r="A36" s="1">
        <v>42736</v>
      </c>
      <c r="B36" t="s">
        <v>295</v>
      </c>
      <c r="C36">
        <v>2017</v>
      </c>
      <c r="E36">
        <v>10875</v>
      </c>
      <c r="F36">
        <v>16</v>
      </c>
      <c r="G36">
        <f>ROUND(E36/F36,0)</f>
        <v>680</v>
      </c>
      <c r="H36">
        <f t="shared" si="12"/>
        <v>6800</v>
      </c>
      <c r="I36">
        <f t="shared" si="6"/>
        <v>4080</v>
      </c>
    </row>
    <row r="37" spans="1:9">
      <c r="A37" s="1">
        <v>42736</v>
      </c>
      <c r="B37" t="s">
        <v>418</v>
      </c>
      <c r="C37">
        <v>2017</v>
      </c>
      <c r="E37">
        <v>3125</v>
      </c>
      <c r="F37">
        <v>16</v>
      </c>
      <c r="G37">
        <f t="shared" ref="G37:G38" si="13">ROUND(E37/F37,0)</f>
        <v>195</v>
      </c>
      <c r="H37">
        <f t="shared" si="12"/>
        <v>1950</v>
      </c>
      <c r="I37">
        <f t="shared" si="6"/>
        <v>1170</v>
      </c>
    </row>
    <row r="38" spans="1:9">
      <c r="A38" s="1">
        <v>42736</v>
      </c>
      <c r="B38" t="s">
        <v>420</v>
      </c>
      <c r="C38">
        <v>2017</v>
      </c>
      <c r="E38">
        <v>6250</v>
      </c>
      <c r="F38">
        <v>16</v>
      </c>
      <c r="G38">
        <f t="shared" si="13"/>
        <v>391</v>
      </c>
      <c r="H38">
        <f t="shared" si="12"/>
        <v>3910</v>
      </c>
      <c r="I38">
        <f t="shared" si="6"/>
        <v>2346</v>
      </c>
    </row>
  </sheetData>
  <autoFilter ref="A1:J36">
    <filterColumn colId="1"/>
    <filterColumn colId="2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1"/>
  <sheetViews>
    <sheetView zoomScale="85" zoomScaleNormal="85" workbookViewId="0">
      <selection activeCell="N25" sqref="N25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</cols>
  <sheetData>
    <row r="1" spans="1:16">
      <c r="A1" s="2" t="s">
        <v>243</v>
      </c>
      <c r="B1" s="2" t="s">
        <v>244</v>
      </c>
      <c r="C1" s="2" t="s">
        <v>307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427</v>
      </c>
      <c r="I1" s="2" t="s">
        <v>334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</row>
    <row r="2" spans="1:16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</row>
    <row r="3" spans="1:16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</row>
    <row r="4" spans="1:16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</row>
    <row r="5" spans="1:16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</row>
    <row r="6" spans="1:16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</row>
    <row r="7" spans="1:16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</row>
    <row r="8" spans="1:16">
      <c r="A8" s="11" t="s">
        <v>385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1032000</v>
      </c>
      <c r="H8">
        <v>189000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 t="shared" si="1"/>
        <v>4.1632065851198998</v>
      </c>
      <c r="P8">
        <f t="shared" si="7"/>
        <v>1.0683691925599978</v>
      </c>
    </row>
    <row r="9" spans="1:16">
      <c r="A9" s="11" t="s">
        <v>425</v>
      </c>
      <c r="C9">
        <v>0</v>
      </c>
      <c r="D9">
        <f t="shared" si="2"/>
        <v>2685754</v>
      </c>
      <c r="E9">
        <f>E8+G8+M8</f>
        <v>4736300</v>
      </c>
      <c r="F9">
        <f>F8+B8+G8+H8-H7-L8</f>
        <v>6588668</v>
      </c>
      <c r="H9">
        <v>189000</v>
      </c>
      <c r="I9">
        <v>3214176</v>
      </c>
      <c r="J9">
        <f t="shared" si="0"/>
        <v>32.788199016530307</v>
      </c>
      <c r="K9">
        <f t="shared" si="5"/>
        <v>1663368</v>
      </c>
      <c r="L9">
        <v>0</v>
      </c>
      <c r="M9">
        <v>0</v>
      </c>
      <c r="N9">
        <f t="shared" si="6"/>
        <v>0</v>
      </c>
      <c r="O9">
        <f t="shared" si="1"/>
        <v>0</v>
      </c>
      <c r="P9">
        <f t="shared" si="7"/>
        <v>0</v>
      </c>
    </row>
    <row r="10" spans="1:16">
      <c r="A10" s="11"/>
    </row>
    <row r="11" spans="1:16">
      <c r="A11" s="11"/>
    </row>
    <row r="13" spans="1:16">
      <c r="K13" s="2" t="s">
        <v>309</v>
      </c>
      <c r="L13" s="2"/>
      <c r="M13" s="2"/>
    </row>
    <row r="14" spans="1:16">
      <c r="K14" s="2" t="s">
        <v>243</v>
      </c>
      <c r="L14" s="2" t="s">
        <v>317</v>
      </c>
      <c r="M14" s="2" t="s">
        <v>318</v>
      </c>
    </row>
    <row r="15" spans="1:16">
      <c r="K15">
        <v>2010</v>
      </c>
      <c r="L15">
        <f t="shared" ref="L15:L20" si="8">L2/(E2/10)</f>
        <v>3</v>
      </c>
      <c r="M15">
        <f t="shared" ref="M15:M21" si="9">M2/(E2/10)</f>
        <v>0</v>
      </c>
    </row>
    <row r="16" spans="1:16">
      <c r="K16">
        <v>2011</v>
      </c>
      <c r="L16">
        <f t="shared" si="8"/>
        <v>0</v>
      </c>
      <c r="M16">
        <f t="shared" si="9"/>
        <v>0</v>
      </c>
    </row>
    <row r="17" spans="11:13">
      <c r="K17">
        <v>2012</v>
      </c>
      <c r="L17">
        <f t="shared" si="8"/>
        <v>0</v>
      </c>
      <c r="M17">
        <f t="shared" si="9"/>
        <v>0</v>
      </c>
    </row>
    <row r="18" spans="11:13">
      <c r="K18">
        <v>2013</v>
      </c>
      <c r="L18">
        <f t="shared" si="8"/>
        <v>0</v>
      </c>
      <c r="M18">
        <f t="shared" si="9"/>
        <v>0</v>
      </c>
    </row>
    <row r="19" spans="11:13">
      <c r="K19">
        <v>2014</v>
      </c>
      <c r="L19">
        <f t="shared" si="8"/>
        <v>0</v>
      </c>
      <c r="M19">
        <f t="shared" si="9"/>
        <v>2</v>
      </c>
    </row>
    <row r="20" spans="11:13">
      <c r="K20">
        <v>2015</v>
      </c>
      <c r="L20">
        <f t="shared" si="8"/>
        <v>0.64</v>
      </c>
      <c r="M20">
        <f t="shared" si="9"/>
        <v>2</v>
      </c>
    </row>
    <row r="21" spans="11:13">
      <c r="K21">
        <v>2016</v>
      </c>
      <c r="L21">
        <v>1</v>
      </c>
      <c r="M21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2017-01-10T09:45:31Z</dcterms:modified>
</cp:coreProperties>
</file>