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 activeTab="2"/>
  </bookViews>
  <sheets>
    <sheet name="合併報表" sheetId="1" r:id="rId1"/>
    <sheet name="達人351-15" sheetId="2" r:id="rId2"/>
    <sheet name="股票期貨外匯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U7" i="2"/>
  <c r="K28" i="1"/>
  <c r="M8" l="1"/>
  <c r="M7"/>
  <c r="L7"/>
  <c r="L8"/>
  <c r="M6"/>
  <c r="L6"/>
  <c r="K19"/>
  <c r="M13"/>
  <c r="K13"/>
  <c r="I6"/>
  <c r="I7"/>
  <c r="I8"/>
  <c r="G5"/>
  <c r="G6"/>
  <c r="G7"/>
  <c r="G8"/>
  <c r="C6"/>
  <c r="C7"/>
  <c r="C8"/>
  <c r="B6"/>
  <c r="B7"/>
  <c r="B8"/>
  <c r="I5" l="1"/>
  <c r="C5"/>
  <c r="B5"/>
  <c r="I4"/>
  <c r="I3"/>
  <c r="G4"/>
  <c r="C4"/>
  <c r="B4"/>
  <c r="K3"/>
  <c r="G3"/>
  <c r="F3"/>
  <c r="E3"/>
  <c r="N3" l="1"/>
  <c r="J3"/>
  <c r="F4"/>
  <c r="R3"/>
  <c r="D3"/>
  <c r="D4" s="1"/>
  <c r="D5" s="1"/>
  <c r="D6" s="1"/>
  <c r="D7" s="1"/>
  <c r="D8" s="1"/>
  <c r="R2"/>
  <c r="Q2"/>
  <c r="P2"/>
  <c r="O2"/>
  <c r="N2"/>
  <c r="K2"/>
  <c r="K4" s="1"/>
  <c r="K5" s="1"/>
  <c r="K6" s="1"/>
  <c r="K7" s="1"/>
  <c r="K8" s="1"/>
  <c r="J2"/>
  <c r="R14" i="3"/>
  <c r="Q14"/>
  <c r="N3"/>
  <c r="J3"/>
  <c r="F3"/>
  <c r="F4" s="1"/>
  <c r="E3"/>
  <c r="E4" s="1"/>
  <c r="D3"/>
  <c r="D4" s="1"/>
  <c r="D5" s="1"/>
  <c r="D6" s="1"/>
  <c r="D7" s="1"/>
  <c r="D8" s="1"/>
  <c r="R2"/>
  <c r="Q2"/>
  <c r="P2"/>
  <c r="O2"/>
  <c r="N2"/>
  <c r="K2"/>
  <c r="K3" s="1"/>
  <c r="K4" s="1"/>
  <c r="K5" s="1"/>
  <c r="K6" s="1"/>
  <c r="K7" s="1"/>
  <c r="K8" s="1"/>
  <c r="J2"/>
  <c r="O4" i="1" l="1"/>
  <c r="J4"/>
  <c r="F5"/>
  <c r="N4"/>
  <c r="P3"/>
  <c r="E4"/>
  <c r="R4" s="1"/>
  <c r="O3"/>
  <c r="Q3"/>
  <c r="O4" i="3"/>
  <c r="J4"/>
  <c r="F5"/>
  <c r="Q4"/>
  <c r="R4"/>
  <c r="N4"/>
  <c r="Q16"/>
  <c r="R16"/>
  <c r="P4"/>
  <c r="E5"/>
  <c r="P3"/>
  <c r="R15"/>
  <c r="O3"/>
  <c r="Q15"/>
  <c r="R3"/>
  <c r="Q3"/>
  <c r="Q4" i="1" l="1"/>
  <c r="E5"/>
  <c r="Q5" s="1"/>
  <c r="P4"/>
  <c r="F6"/>
  <c r="N5"/>
  <c r="O5"/>
  <c r="J5"/>
  <c r="E6" i="3"/>
  <c r="Q17"/>
  <c r="R17"/>
  <c r="P5"/>
  <c r="F6"/>
  <c r="Q5"/>
  <c r="R5"/>
  <c r="N5"/>
  <c r="O5"/>
  <c r="J5"/>
  <c r="R5" i="1" l="1"/>
  <c r="O6"/>
  <c r="J6"/>
  <c r="F7"/>
  <c r="N6"/>
  <c r="P5"/>
  <c r="E6"/>
  <c r="R6" s="1"/>
  <c r="O6" i="3"/>
  <c r="J6"/>
  <c r="F7"/>
  <c r="Q6"/>
  <c r="R6"/>
  <c r="N6"/>
  <c r="Q18"/>
  <c r="R18"/>
  <c r="E7"/>
  <c r="P6"/>
  <c r="Q6" i="1" l="1"/>
  <c r="E7"/>
  <c r="Q7" s="1"/>
  <c r="P6"/>
  <c r="F8"/>
  <c r="R8" s="1"/>
  <c r="N7"/>
  <c r="O7"/>
  <c r="J7"/>
  <c r="Q19" i="3"/>
  <c r="R19"/>
  <c r="E8"/>
  <c r="P7"/>
  <c r="F8"/>
  <c r="R8" s="1"/>
  <c r="Q7"/>
  <c r="R7"/>
  <c r="N7"/>
  <c r="O7"/>
  <c r="J7"/>
  <c r="R7" i="1" l="1"/>
  <c r="K25"/>
  <c r="O8"/>
  <c r="J8"/>
  <c r="M25"/>
  <c r="M28"/>
  <c r="N8"/>
  <c r="E8"/>
  <c r="P7"/>
  <c r="K25" i="3"/>
  <c r="O8"/>
  <c r="M25"/>
  <c r="J8"/>
  <c r="M28"/>
  <c r="Q8"/>
  <c r="N8"/>
  <c r="P8"/>
  <c r="Q20"/>
  <c r="R20"/>
  <c r="M19"/>
  <c r="M22" s="1"/>
  <c r="U13" i="2"/>
  <c r="T13"/>
  <c r="N12"/>
  <c r="B7"/>
  <c r="B6"/>
  <c r="B5"/>
  <c r="B4"/>
  <c r="S3"/>
  <c r="M3"/>
  <c r="L3"/>
  <c r="L4" s="1"/>
  <c r="I3"/>
  <c r="T3" s="1"/>
  <c r="H3"/>
  <c r="H4" s="1"/>
  <c r="B3"/>
  <c r="Q3" s="1"/>
  <c r="U2"/>
  <c r="T2"/>
  <c r="S2"/>
  <c r="R2"/>
  <c r="Q2"/>
  <c r="N2"/>
  <c r="N3" s="1"/>
  <c r="N4" s="1"/>
  <c r="N5" s="1"/>
  <c r="N6" s="1"/>
  <c r="N7" s="1"/>
  <c r="M2"/>
  <c r="G2"/>
  <c r="G3" s="1"/>
  <c r="G4" s="1"/>
  <c r="G5" s="1"/>
  <c r="G6" s="1"/>
  <c r="G7" s="1"/>
  <c r="P8" i="1" l="1"/>
  <c r="M19"/>
  <c r="M22" s="1"/>
  <c r="Q8"/>
  <c r="U15" i="2"/>
  <c r="H5"/>
  <c r="T15"/>
  <c r="S4"/>
  <c r="L5"/>
  <c r="R3"/>
  <c r="U14"/>
  <c r="U3"/>
  <c r="I4"/>
  <c r="M4" s="1"/>
  <c r="T14"/>
  <c r="R4" l="1"/>
  <c r="T4"/>
  <c r="I5"/>
  <c r="U4"/>
  <c r="H6"/>
  <c r="T16"/>
  <c r="U16"/>
  <c r="S5"/>
  <c r="L6"/>
  <c r="M5"/>
  <c r="Q4"/>
  <c r="U17" l="1"/>
  <c r="H7"/>
  <c r="T17"/>
  <c r="S6"/>
  <c r="T5"/>
  <c r="I6"/>
  <c r="U5"/>
  <c r="Q5"/>
  <c r="R5"/>
  <c r="L7"/>
  <c r="T6" l="1"/>
  <c r="I7"/>
  <c r="U6"/>
  <c r="Q6"/>
  <c r="R6"/>
  <c r="P18"/>
  <c r="T18"/>
  <c r="U18"/>
  <c r="S7"/>
  <c r="M7"/>
  <c r="M6"/>
  <c r="P21" l="1"/>
  <c r="T7"/>
  <c r="N24"/>
  <c r="P24"/>
  <c r="P27"/>
  <c r="R7"/>
  <c r="Q7"/>
</calcChain>
</file>

<file path=xl/sharedStrings.xml><?xml version="1.0" encoding="utf-8"?>
<sst xmlns="http://schemas.openxmlformats.org/spreadsheetml/2006/main" count="129" uniqueCount="49">
  <si>
    <t>年度</t>
    <phoneticPr fontId="2" type="noConversion"/>
  </si>
  <si>
    <t>結算損益</t>
    <phoneticPr fontId="2" type="noConversion"/>
  </si>
  <si>
    <t>租金收入</t>
    <phoneticPr fontId="2" type="noConversion"/>
  </si>
  <si>
    <t>扣除房貸結餘</t>
    <phoneticPr fontId="2" type="noConversion"/>
  </si>
  <si>
    <t>利息支出</t>
    <phoneticPr fontId="2" type="noConversion"/>
  </si>
  <si>
    <t>房貸支出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</si>
  <si>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</si>
  <si>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</si>
  <si>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</si>
  <si>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</si>
  <si>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</si>
  <si>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期末債務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</si>
  <si>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</si>
  <si>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</si>
  <si>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</si>
  <si>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</si>
  <si>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</si>
  <si>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</si>
  <si>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</si>
  <si>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</si>
  <si>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</si>
  <si>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</si>
  <si>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</si>
  <si>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2013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</si>
  <si>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</si>
  <si>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</si>
  <si>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</si>
  <si>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未實現損益</t>
    <phoneticPr fontId="2" type="noConversion"/>
  </si>
  <si>
    <t>年末預估現增</t>
    <phoneticPr fontId="2" type="noConversion"/>
  </si>
  <si>
    <t>股利分配</t>
    <phoneticPr fontId="2" type="noConversion"/>
  </si>
  <si>
    <t>現金</t>
    <phoneticPr fontId="2" type="noConversion"/>
  </si>
  <si>
    <t>股票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</si>
  <si>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</si>
  <si>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</si>
  <si>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</si>
  <si>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明年初預計股本</t>
    <phoneticPr fontId="2" type="noConversion"/>
  </si>
  <si>
    <t>目前剩餘債務</t>
    <phoneticPr fontId="2" type="noConversion"/>
  </si>
  <si>
    <t>預估明年初每股淨值</t>
    <phoneticPr fontId="2" type="noConversion"/>
  </si>
  <si>
    <t>目前負債比</t>
    <phoneticPr fontId="2" type="noConversion"/>
  </si>
  <si>
    <t>預估明年長期負債比</t>
    <phoneticPr fontId="2" type="noConversion"/>
  </si>
  <si>
    <t>預估明年長期負債</t>
    <phoneticPr fontId="2" type="noConversion"/>
  </si>
  <si>
    <t>預估明年最高負債比</t>
    <phoneticPr fontId="2" type="noConversion"/>
  </si>
  <si>
    <t>預估明年股東可轉債</t>
    <phoneticPr fontId="2" type="noConversion"/>
  </si>
  <si>
    <t>購入價</t>
    <phoneticPr fontId="2" type="noConversion"/>
  </si>
  <si>
    <t>市價</t>
    <phoneticPr fontId="2" type="noConversion"/>
  </si>
  <si>
    <t>債務(最高)</t>
    <phoneticPr fontId="2" type="noConversion"/>
  </si>
  <si>
    <t>2010</t>
    <phoneticPr fontId="2" type="noConversion"/>
  </si>
  <si>
    <t>固定收益</t>
    <phoneticPr fontId="2" type="noConversion"/>
  </si>
  <si>
    <t>債務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</si>
</sst>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合併報表!$B$1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127539</c:v>
                </c:pt>
                <c:pt idx="3">
                  <c:v>166315</c:v>
                </c:pt>
                <c:pt idx="4">
                  <c:v>353370</c:v>
                </c:pt>
                <c:pt idx="5">
                  <c:v>1995109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合併報表!$D$1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177608</c:v>
                </c:pt>
                <c:pt idx="3">
                  <c:v>343923</c:v>
                </c:pt>
                <c:pt idx="4">
                  <c:v>697293</c:v>
                </c:pt>
                <c:pt idx="5">
                  <c:v>2692402</c:v>
                </c:pt>
                <c:pt idx="6">
                  <c:v>2692402</c:v>
                </c:pt>
              </c:numCache>
            </c:numRef>
          </c:val>
        </c:ser>
        <c:ser>
          <c:idx val="2"/>
          <c:order val="2"/>
          <c:tx>
            <c:strRef>
              <c:f>合併報表!$C$1</c:f>
              <c:strCache>
                <c:ptCount val="1"/>
                <c:pt idx="0">
                  <c:v>固定收益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合併報表!$C$2:$C$8</c:f>
              <c:numCache>
                <c:formatCode>General</c:formatCode>
                <c:ptCount val="7"/>
                <c:pt idx="2">
                  <c:v>264733</c:v>
                </c:pt>
                <c:pt idx="3">
                  <c:v>241861</c:v>
                </c:pt>
                <c:pt idx="4">
                  <c:v>250472</c:v>
                </c:pt>
                <c:pt idx="5">
                  <c:v>538729</c:v>
                </c:pt>
                <c:pt idx="6">
                  <c:v>411500</c:v>
                </c:pt>
              </c:numCache>
            </c:numRef>
          </c:val>
        </c:ser>
        <c:marker val="1"/>
        <c:axId val="152502656"/>
        <c:axId val="152504192"/>
      </c:lineChart>
      <c:catAx>
        <c:axId val="152502656"/>
        <c:scaling>
          <c:orientation val="minMax"/>
        </c:scaling>
        <c:axPos val="b"/>
        <c:tickLblPos val="nextTo"/>
        <c:crossAx val="152504192"/>
        <c:crosses val="autoZero"/>
        <c:auto val="1"/>
        <c:lblAlgn val="ctr"/>
        <c:lblOffset val="100"/>
      </c:catAx>
      <c:valAx>
        <c:axId val="152504192"/>
        <c:scaling>
          <c:orientation val="minMax"/>
        </c:scaling>
        <c:axPos val="l"/>
        <c:majorGridlines/>
        <c:numFmt formatCode="General" sourceLinked="1"/>
        <c:tickLblPos val="nextTo"/>
        <c:crossAx val="152502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[2]財務報表!$B$1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[2]財務報表!$C$1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52587264"/>
        <c:axId val="152589056"/>
      </c:lineChart>
      <c:catAx>
        <c:axId val="152587264"/>
        <c:scaling>
          <c:orientation val="minMax"/>
        </c:scaling>
        <c:axPos val="b"/>
        <c:tickLblPos val="nextTo"/>
        <c:crossAx val="152589056"/>
        <c:crosses val="autoZero"/>
        <c:auto val="1"/>
        <c:lblAlgn val="ctr"/>
        <c:lblOffset val="100"/>
      </c:catAx>
      <c:valAx>
        <c:axId val="152589056"/>
        <c:scaling>
          <c:orientation val="minMax"/>
        </c:scaling>
        <c:axPos val="l"/>
        <c:majorGridlines/>
        <c:numFmt formatCode="General" sourceLinked="1"/>
        <c:tickLblPos val="nextTo"/>
        <c:crossAx val="152587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[1]股票獲利曲線!$B$1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</c:numCache>
            </c:numRef>
          </c:val>
        </c:ser>
        <c:ser>
          <c:idx val="1"/>
          <c:order val="1"/>
          <c:tx>
            <c:strRef>
              <c:f>[1]股票獲利曲線!$D$1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2289998</c:v>
                </c:pt>
              </c:numCache>
            </c:numRef>
          </c:val>
        </c:ser>
        <c:ser>
          <c:idx val="2"/>
          <c:order val="2"/>
          <c:tx>
            <c:strRef>
              <c:f>[1]股票獲利曲線!$C$1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52647552"/>
        <c:axId val="152649088"/>
      </c:lineChart>
      <c:catAx>
        <c:axId val="152647552"/>
        <c:scaling>
          <c:orientation val="minMax"/>
        </c:scaling>
        <c:axPos val="b"/>
        <c:tickLblPos val="nextTo"/>
        <c:crossAx val="152649088"/>
        <c:crosses val="autoZero"/>
        <c:auto val="1"/>
        <c:lblAlgn val="ctr"/>
        <c:lblOffset val="100"/>
      </c:catAx>
      <c:valAx>
        <c:axId val="152649088"/>
        <c:scaling>
          <c:orientation val="minMax"/>
        </c:scaling>
        <c:axPos val="l"/>
        <c:majorGridlines/>
        <c:numFmt formatCode="General" sourceLinked="1"/>
        <c:tickLblPos val="nextTo"/>
        <c:crossAx val="15264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92;&#23627;&#27454;&#389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</sheetNames>
    <sheetDataSet>
      <sheetData sheetId="0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1892320</v>
          </cell>
          <cell r="C7">
            <v>313669</v>
          </cell>
          <cell r="D7">
            <v>2289998</v>
          </cell>
        </row>
        <row r="8">
          <cell r="A8" t="str">
            <v>2016</v>
          </cell>
          <cell r="C8">
            <v>411500</v>
          </cell>
          <cell r="D8">
            <v>2289998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銀行帳目"/>
      <sheetName val="交屋後明細"/>
      <sheetName val="交屋前支出"/>
      <sheetName val="借款"/>
      <sheetName val="財務報表"/>
      <sheetName val="股份統計"/>
    </sheetNames>
    <sheetDataSet>
      <sheetData sheetId="0"/>
      <sheetData sheetId="1"/>
      <sheetData sheetId="2"/>
      <sheetData sheetId="3"/>
      <sheetData sheetId="4">
        <row r="1">
          <cell r="B1" t="str">
            <v>結算損益</v>
          </cell>
          <cell r="C1" t="str">
            <v>租金收入</v>
          </cell>
          <cell r="G1" t="str">
            <v>累計盈餘</v>
          </cell>
        </row>
        <row r="2">
          <cell r="A2" t="str">
            <v>2011</v>
          </cell>
          <cell r="G2">
            <v>0</v>
          </cell>
        </row>
        <row r="3">
          <cell r="A3" t="str">
            <v>2012</v>
          </cell>
          <cell r="B3">
            <v>145131</v>
          </cell>
          <cell r="C3">
            <v>264733</v>
          </cell>
          <cell r="G3">
            <v>145131</v>
          </cell>
        </row>
        <row r="4">
          <cell r="A4" t="str">
            <v>2013</v>
          </cell>
          <cell r="B4">
            <v>128881</v>
          </cell>
          <cell r="C4">
            <v>232300</v>
          </cell>
          <cell r="G4">
            <v>274012</v>
          </cell>
        </row>
        <row r="5">
          <cell r="A5" t="str">
            <v>2014</v>
          </cell>
          <cell r="B5">
            <v>25603</v>
          </cell>
          <cell r="C5">
            <v>171550</v>
          </cell>
          <cell r="G5">
            <v>299615</v>
          </cell>
        </row>
        <row r="6">
          <cell r="A6" t="str">
            <v>2015</v>
          </cell>
          <cell r="B6">
            <v>102789</v>
          </cell>
          <cell r="C6">
            <v>225060</v>
          </cell>
          <cell r="G6">
            <v>402404</v>
          </cell>
        </row>
        <row r="7">
          <cell r="A7" t="str">
            <v>2016</v>
          </cell>
          <cell r="B7">
            <v>0</v>
          </cell>
          <cell r="C7">
            <v>0</v>
          </cell>
          <cell r="G7">
            <v>402404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R9" sqref="R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47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48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>'達人351-15'!H2+股票期貨外匯!E3</f>
        <v>1957798</v>
      </c>
      <c r="F3">
        <f>'達人351-15'!I2+股票期貨外匯!F3</f>
        <v>1981781</v>
      </c>
      <c r="G3">
        <f>'達人351-15'!J2+股票期貨外匯!G3</f>
        <v>155000</v>
      </c>
      <c r="I3">
        <f>'達人351-15'!L2+股票期貨外匯!I3</f>
        <v>4500000</v>
      </c>
      <c r="J3">
        <f t="shared" si="0"/>
        <v>69.425363183359636</v>
      </c>
      <c r="K3">
        <f>'達人351-15'!N2+股票期貨外匯!K3</f>
        <v>44069</v>
      </c>
      <c r="L3">
        <v>0</v>
      </c>
      <c r="M3">
        <v>0</v>
      </c>
      <c r="N3">
        <f t="shared" ref="N3:N8" si="3">(B3/F3)*100</f>
        <v>1.0135327768305378</v>
      </c>
      <c r="O3">
        <f t="shared" si="1"/>
        <v>0.30988396553354702</v>
      </c>
      <c r="P3">
        <f t="shared" ref="P3:P8" si="4">(B3/E3)*10</f>
        <v>0.10259485401456125</v>
      </c>
      <c r="Q3">
        <f t="shared" ref="Q3:Q7" si="5">(F3/E3)*10</f>
        <v>10.122499869751628</v>
      </c>
      <c r="R3">
        <f t="shared" ref="R3:R5" si="6">((F3+B3-L3)/(E3))*10</f>
        <v>10.22509472376619</v>
      </c>
    </row>
    <row r="4" spans="1:18">
      <c r="A4" s="2" t="s">
        <v>22</v>
      </c>
      <c r="B4">
        <f>'達人351-15'!B3+股票期貨外匯!B4</f>
        <v>127539</v>
      </c>
      <c r="C4">
        <f>'達人351-15'!C3+股票期貨外匯!C4</f>
        <v>264733</v>
      </c>
      <c r="D4">
        <f t="shared" si="2"/>
        <v>177608</v>
      </c>
      <c r="E4">
        <f t="shared" ref="E4:E6" si="7">E3+G3+M3</f>
        <v>2112798</v>
      </c>
      <c r="F4">
        <f t="shared" ref="F4:F7" si="8">F3+B3+G3+H3-L3</f>
        <v>2156867</v>
      </c>
      <c r="G4">
        <f>'達人351-15'!J3+股票期貨外匯!G4</f>
        <v>200000</v>
      </c>
      <c r="I4">
        <f>'達人351-15'!L3+股票期貨外匯!I4</f>
        <v>4325802</v>
      </c>
      <c r="J4">
        <f t="shared" si="0"/>
        <v>66.728719297560929</v>
      </c>
      <c r="K4">
        <f t="shared" ref="K4:K8" si="9">K3+B4-L4-M4</f>
        <v>171608</v>
      </c>
      <c r="L4">
        <v>0</v>
      </c>
      <c r="M4">
        <v>0</v>
      </c>
      <c r="N4">
        <f t="shared" si="3"/>
        <v>5.9131601531295157</v>
      </c>
      <c r="O4">
        <f t="shared" si="1"/>
        <v>1.9673841129324976</v>
      </c>
      <c r="P4">
        <f t="shared" si="4"/>
        <v>0.60364975733600656</v>
      </c>
      <c r="Q4">
        <f t="shared" si="5"/>
        <v>10.208581227358223</v>
      </c>
      <c r="R4">
        <f t="shared" si="6"/>
        <v>10.812230984694231</v>
      </c>
    </row>
    <row r="5" spans="1:18">
      <c r="A5" s="2" t="s">
        <v>23</v>
      </c>
      <c r="B5">
        <f>'達人351-15'!B4+股票期貨外匯!B5</f>
        <v>166315</v>
      </c>
      <c r="C5">
        <f>'達人351-15'!C4+股票期貨外匯!C5</f>
        <v>241861</v>
      </c>
      <c r="D5">
        <f t="shared" si="2"/>
        <v>343923</v>
      </c>
      <c r="E5">
        <f t="shared" si="7"/>
        <v>2312798</v>
      </c>
      <c r="F5">
        <f t="shared" si="8"/>
        <v>2484406</v>
      </c>
      <c r="G5">
        <f>'達人351-15'!J4+股票期貨外匯!G5</f>
        <v>680000</v>
      </c>
      <c r="I5">
        <f>'達人351-15'!L4+股票期貨外匯!I5</f>
        <v>4732611</v>
      </c>
      <c r="J5">
        <f t="shared" si="0"/>
        <v>65.57572193608523</v>
      </c>
      <c r="K5">
        <f t="shared" si="9"/>
        <v>337923</v>
      </c>
      <c r="L5">
        <v>0</v>
      </c>
      <c r="M5">
        <v>0</v>
      </c>
      <c r="N5">
        <f t="shared" si="3"/>
        <v>6.6943567194733875</v>
      </c>
      <c r="O5">
        <f t="shared" si="1"/>
        <v>2.3044839717018819</v>
      </c>
      <c r="P5">
        <f t="shared" si="4"/>
        <v>0.71910733233079593</v>
      </c>
      <c r="Q5">
        <f t="shared" si="5"/>
        <v>10.741993031816872</v>
      </c>
      <c r="R5">
        <f t="shared" si="6"/>
        <v>11.461100364147669</v>
      </c>
    </row>
    <row r="6" spans="1:18">
      <c r="A6" s="2" t="s">
        <v>24</v>
      </c>
      <c r="B6">
        <f>'達人351-15'!B5+股票期貨外匯!B6</f>
        <v>353370</v>
      </c>
      <c r="C6">
        <f>'達人351-15'!C5+股票期貨外匯!C6</f>
        <v>250472</v>
      </c>
      <c r="D6">
        <f t="shared" si="2"/>
        <v>697293</v>
      </c>
      <c r="E6">
        <f t="shared" si="7"/>
        <v>2992798</v>
      </c>
      <c r="F6">
        <f t="shared" si="8"/>
        <v>3330721</v>
      </c>
      <c r="G6">
        <f>'達人351-15'!J5+股票期貨外匯!G6</f>
        <v>1196500</v>
      </c>
      <c r="H6">
        <v>37500</v>
      </c>
      <c r="I6">
        <f>'達人351-15'!L5+股票期貨外匯!I6</f>
        <v>4740894</v>
      </c>
      <c r="J6">
        <f t="shared" si="0"/>
        <v>58.735383191591772</v>
      </c>
      <c r="K6">
        <f t="shared" si="9"/>
        <v>551293</v>
      </c>
      <c r="L6">
        <f>'達人351-15'!O5+股票期貨外匯!L6</f>
        <v>0</v>
      </c>
      <c r="M6">
        <f>'達人351-15'!P5+股票期貨外匯!M6</f>
        <v>140000</v>
      </c>
      <c r="N6">
        <f t="shared" si="3"/>
        <v>10.609414598220626</v>
      </c>
      <c r="O6">
        <f t="shared" si="1"/>
        <v>4.3779342795710647</v>
      </c>
      <c r="P6">
        <f t="shared" si="4"/>
        <v>1.1807345500765503</v>
      </c>
      <c r="Q6">
        <f t="shared" si="5"/>
        <v>11.129120642288587</v>
      </c>
      <c r="R6">
        <f>((F6+B6-L6)/(E6))*10</f>
        <v>12.309855192365138</v>
      </c>
    </row>
    <row r="7" spans="1:18">
      <c r="A7" s="2" t="s">
        <v>25</v>
      </c>
      <c r="B7">
        <f>'達人351-15'!B6+股票期貨外匯!B7</f>
        <v>1995109</v>
      </c>
      <c r="C7">
        <f>'達人351-15'!C6+股票期貨外匯!C7</f>
        <v>538729</v>
      </c>
      <c r="D7">
        <f t="shared" si="2"/>
        <v>2692402</v>
      </c>
      <c r="E7">
        <f>E6+G6+M6</f>
        <v>4329298</v>
      </c>
      <c r="F7">
        <f t="shared" si="8"/>
        <v>4918091</v>
      </c>
      <c r="G7">
        <f>'達人351-15'!J6+股票期貨外匯!G7</f>
        <v>842500</v>
      </c>
      <c r="H7">
        <v>39000</v>
      </c>
      <c r="I7">
        <f>'達人351-15'!L6+股票期貨外匯!I7</f>
        <v>7788030</v>
      </c>
      <c r="J7">
        <f t="shared" si="0"/>
        <v>61.293529315516516</v>
      </c>
      <c r="K7">
        <f t="shared" si="9"/>
        <v>2040446</v>
      </c>
      <c r="L7">
        <f>'達人351-15'!O6+股票期貨外匯!L7</f>
        <v>122656</v>
      </c>
      <c r="M7">
        <f>'達人351-15'!P6+股票期貨外匯!M7</f>
        <v>383300</v>
      </c>
      <c r="N7">
        <f t="shared" si="3"/>
        <v>40.566736158399678</v>
      </c>
      <c r="O7">
        <f t="shared" si="1"/>
        <v>15.70195183880273</v>
      </c>
      <c r="P7">
        <f t="shared" si="4"/>
        <v>4.6083891660957503</v>
      </c>
      <c r="Q7">
        <f t="shared" si="5"/>
        <v>11.360019568992479</v>
      </c>
      <c r="R7">
        <f>((F7+B7-L7)/(E7))*10</f>
        <v>15.685092594688561</v>
      </c>
    </row>
    <row r="8" spans="1:18">
      <c r="A8" s="2" t="s">
        <v>26</v>
      </c>
      <c r="B8">
        <f>'達人351-15'!B7+股票期貨外匯!B8</f>
        <v>0</v>
      </c>
      <c r="C8">
        <f>'達人351-15'!C7+股票期貨外匯!C8</f>
        <v>411500</v>
      </c>
      <c r="D8">
        <f t="shared" si="2"/>
        <v>2692402</v>
      </c>
      <c r="E8">
        <f>E7+G7+M7</f>
        <v>5555098</v>
      </c>
      <c r="F8">
        <f>F7+B7+G7+H7-L7</f>
        <v>7672044</v>
      </c>
      <c r="G8">
        <f>'達人351-15'!J7+股票期貨外匯!G8</f>
        <v>0</v>
      </c>
      <c r="H8">
        <v>39000</v>
      </c>
      <c r="I8">
        <f>'達人351-15'!L7+股票期貨外匯!I8</f>
        <v>7720208</v>
      </c>
      <c r="J8">
        <f t="shared" si="0"/>
        <v>50.156455338698983</v>
      </c>
      <c r="K8">
        <f t="shared" si="9"/>
        <v>2040446</v>
      </c>
      <c r="L8">
        <f>'達人351-15'!O7+股票期貨外匯!L8</f>
        <v>0</v>
      </c>
      <c r="M8">
        <f>'達人351-15'!P7+股票期貨外匯!M8</f>
        <v>0</v>
      </c>
      <c r="N8">
        <f t="shared" si="3"/>
        <v>0</v>
      </c>
      <c r="O8">
        <f t="shared" si="1"/>
        <v>0</v>
      </c>
      <c r="P8">
        <f t="shared" si="4"/>
        <v>0</v>
      </c>
      <c r="Q8">
        <f>(F8/E8)*10</f>
        <v>13.810816658860023</v>
      </c>
      <c r="R8" s="3">
        <f>((F8+B8-L8+K13-K16)/(E8))*10</f>
        <v>15.736446053696982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</row>
    <row r="13" spans="1:18">
      <c r="K13">
        <f>'達人351-15'!N12+股票期貨外匯!K13</f>
        <v>1069706</v>
      </c>
      <c r="M13">
        <f>'達人351-15'!P12+股票期貨外匯!M13</f>
        <v>820000</v>
      </c>
    </row>
    <row r="15" spans="1:18">
      <c r="K15" s="1" t="s">
        <v>32</v>
      </c>
      <c r="M15" s="1" t="s">
        <v>33</v>
      </c>
      <c r="N15" s="1" t="s">
        <v>15</v>
      </c>
    </row>
    <row r="18" spans="11:13">
      <c r="K18" s="1" t="s">
        <v>34</v>
      </c>
      <c r="M18" s="1" t="s">
        <v>35</v>
      </c>
    </row>
    <row r="19" spans="11:13">
      <c r="K19">
        <f>'達人351-15'!N18+股票期貨外匯!K19</f>
        <v>159619</v>
      </c>
      <c r="M19">
        <f>E8+M13+((E8/10)*N16)</f>
        <v>6375098</v>
      </c>
    </row>
    <row r="21" spans="11:13">
      <c r="K21" s="1" t="s">
        <v>36</v>
      </c>
      <c r="M21" s="1" t="s">
        <v>37</v>
      </c>
    </row>
    <row r="22" spans="11:13">
      <c r="M22">
        <f>((F8+B8+M13-((E8/10)*M16))/M19)*10</f>
        <v>13.320648561010355</v>
      </c>
    </row>
    <row r="24" spans="11:13">
      <c r="K24" s="1" t="s">
        <v>38</v>
      </c>
      <c r="M24" s="1" t="s">
        <v>39</v>
      </c>
    </row>
    <row r="25" spans="11:13">
      <c r="K25">
        <f>K22/(F8+B8+K13-K16+K22+K19)*100</f>
        <v>0</v>
      </c>
      <c r="M25">
        <f>K28/(F8+B8+K13+M13-K16+K22+K28)*100</f>
        <v>41.419869512747852</v>
      </c>
    </row>
    <row r="27" spans="11:13">
      <c r="K27" s="1" t="s">
        <v>40</v>
      </c>
      <c r="M27" s="1" t="s">
        <v>41</v>
      </c>
    </row>
    <row r="28" spans="11:13">
      <c r="K28">
        <f>'達人351-15'!N27+股票期貨外匯!K28</f>
        <v>6760764</v>
      </c>
      <c r="M28">
        <f>(K28+K31)/(F8+B8+K13+M13-K16+K22+K28+K31)*100</f>
        <v>43.160992465216552</v>
      </c>
    </row>
    <row r="30" spans="11:13">
      <c r="K30" s="1" t="s">
        <v>42</v>
      </c>
    </row>
    <row r="31" spans="11:13">
      <c r="K31">
        <v>500000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opLeftCell="D2" zoomScale="85" zoomScaleNormal="85" workbookViewId="0">
      <selection activeCell="U8" sqref="U8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2" t="s">
        <v>22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2" t="s">
        <v>23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2" t="s">
        <v>24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2" t="s">
        <v>25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2" t="s">
        <v>26</v>
      </c>
      <c r="B7">
        <f t="shared" si="10"/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3">
        <f>((I7+B7-O7+N12-N15)/(H7))*10</f>
        <v>18.498127367441064</v>
      </c>
    </row>
    <row r="8" spans="1:21">
      <c r="A8" s="2"/>
      <c r="U8" s="3"/>
    </row>
    <row r="9" spans="1:21">
      <c r="A9" s="2"/>
      <c r="U9" s="3"/>
    </row>
    <row r="11" spans="1:21">
      <c r="N11" s="1" t="s">
        <v>27</v>
      </c>
      <c r="P11" s="1" t="s">
        <v>28</v>
      </c>
      <c r="S11" s="1" t="s">
        <v>29</v>
      </c>
      <c r="T11" s="1"/>
      <c r="U11" s="1"/>
    </row>
    <row r="12" spans="1:21">
      <c r="N12">
        <f>P32-N32</f>
        <v>1750000</v>
      </c>
      <c r="P12">
        <v>120000</v>
      </c>
      <c r="S12" s="1" t="s">
        <v>0</v>
      </c>
      <c r="T12" s="1" t="s">
        <v>30</v>
      </c>
      <c r="U12" s="1" t="s">
        <v>31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1" t="s">
        <v>32</v>
      </c>
      <c r="P14" s="1" t="s">
        <v>33</v>
      </c>
      <c r="Q14" s="1" t="s">
        <v>15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1" t="s">
        <v>34</v>
      </c>
      <c r="P17" s="1" t="s">
        <v>35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1" t="s">
        <v>36</v>
      </c>
      <c r="P20" s="1" t="s">
        <v>37</v>
      </c>
    </row>
    <row r="21" spans="14:21">
      <c r="P21">
        <f>((I7+B7+P12-((H7/10)*P15))/P18)*10</f>
        <v>11.516904038679161</v>
      </c>
    </row>
    <row r="23" spans="14:21">
      <c r="N23" s="1" t="s">
        <v>38</v>
      </c>
      <c r="P23" s="1" t="s">
        <v>39</v>
      </c>
    </row>
    <row r="24" spans="14:21">
      <c r="N24">
        <f>N21/(I7+B7+N12-N15+N21+N18)*100</f>
        <v>0</v>
      </c>
      <c r="P24">
        <f>N27/(I7+B7+N12+P12-N15+N21+N27)*100</f>
        <v>42.457591051495719</v>
      </c>
    </row>
    <row r="26" spans="14:21">
      <c r="N26" s="1" t="s">
        <v>40</v>
      </c>
      <c r="P26" s="1" t="s">
        <v>41</v>
      </c>
    </row>
    <row r="27" spans="14:21">
      <c r="N27">
        <v>3545512</v>
      </c>
      <c r="P27">
        <f>(N27+N30)/(I7+B7+N12+P12-N15+N21+N27+N30)*100</f>
        <v>42.457591051495719</v>
      </c>
    </row>
    <row r="29" spans="14:21">
      <c r="N29" s="1" t="s">
        <v>42</v>
      </c>
    </row>
    <row r="31" spans="14:21">
      <c r="N31" s="1" t="s">
        <v>43</v>
      </c>
      <c r="P31" s="1" t="s">
        <v>44</v>
      </c>
    </row>
    <row r="32" spans="14:21">
      <c r="N32">
        <v>6250000</v>
      </c>
      <c r="P32">
        <v>8000000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2" t="s">
        <v>22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2" t="s">
        <v>23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2" t="s">
        <v>24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2" t="s">
        <v>25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2" t="s">
        <v>26</v>
      </c>
      <c r="C8">
        <v>411500</v>
      </c>
      <c r="D8">
        <f t="shared" si="2"/>
        <v>2289998</v>
      </c>
      <c r="E8">
        <f>E7+G7+M7</f>
        <v>3022300</v>
      </c>
      <c r="F8">
        <f>F7+B7+G7+H7-L7</f>
        <v>4736842</v>
      </c>
      <c r="H8">
        <v>39000</v>
      </c>
      <c r="I8">
        <v>3974696</v>
      </c>
      <c r="J8">
        <f t="shared" si="0"/>
        <v>45.625651865376696</v>
      </c>
      <c r="K8">
        <f t="shared" si="5"/>
        <v>1638042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15.672970916189657</v>
      </c>
      <c r="R8" s="3">
        <f>((F8+B8-L8+K13-K16)/(E8))*10</f>
        <v>13.422056050028123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  <c r="P12" s="1" t="s">
        <v>29</v>
      </c>
      <c r="Q12" s="1"/>
      <c r="R12" s="1"/>
    </row>
    <row r="13" spans="1:18">
      <c r="K13">
        <v>-680294</v>
      </c>
      <c r="M13">
        <v>700000</v>
      </c>
      <c r="P13" s="1" t="s">
        <v>0</v>
      </c>
      <c r="Q13" s="1" t="s">
        <v>30</v>
      </c>
      <c r="R13" s="1" t="s">
        <v>31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1" t="s">
        <v>32</v>
      </c>
      <c r="M15" s="1" t="s">
        <v>33</v>
      </c>
      <c r="N15" s="1" t="s">
        <v>15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1" t="s">
        <v>34</v>
      </c>
      <c r="M18" s="1" t="s">
        <v>35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1" t="s">
        <v>36</v>
      </c>
      <c r="M21" s="1" t="s">
        <v>37</v>
      </c>
    </row>
    <row r="22" spans="11:18">
      <c r="M22">
        <f>((F8+B8+M13-((E8/10)*M16))/M19)*10</f>
        <v>14.606135991188244</v>
      </c>
    </row>
    <row r="24" spans="11:18">
      <c r="K24" s="1" t="s">
        <v>38</v>
      </c>
      <c r="M24" s="1" t="s">
        <v>39</v>
      </c>
    </row>
    <row r="25" spans="11:18">
      <c r="K25">
        <f>K22/(F8+B8+K13-K16+K22+K19)*100</f>
        <v>0</v>
      </c>
      <c r="M25">
        <f>K28/(F8+B8+K13+M13-K16+K22+K28)*100</f>
        <v>40.332823201786297</v>
      </c>
    </row>
    <row r="27" spans="11:18">
      <c r="K27" s="1" t="s">
        <v>40</v>
      </c>
      <c r="M27" s="1" t="s">
        <v>41</v>
      </c>
    </row>
    <row r="28" spans="11:18">
      <c r="K28">
        <v>3215252</v>
      </c>
      <c r="M28">
        <f>(K28+K31)/(F8+B8+K13+M13-K16+K22+K28+K31)*100</f>
        <v>43.85434028187634</v>
      </c>
    </row>
    <row r="30" spans="11:18">
      <c r="K30" s="1" t="s">
        <v>42</v>
      </c>
    </row>
    <row r="31" spans="11:18">
      <c r="K31">
        <v>500000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合併報表</vt:lpstr>
      <vt:lpstr>達人351-15</vt:lpstr>
      <vt:lpstr>股票期貨外匯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DADA頭好壯壯</cp:lastModifiedBy>
  <dcterms:created xsi:type="dcterms:W3CDTF">2015-12-31T07:32:15Z</dcterms:created>
  <dcterms:modified xsi:type="dcterms:W3CDTF">2016-01-05T03:41:06Z</dcterms:modified>
</cp:coreProperties>
</file>