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35" windowWidth="19395" windowHeight="7620" activeTab="2"/>
  </bookViews>
  <sheets>
    <sheet name="合併報表" sheetId="1" r:id="rId1"/>
    <sheet name="達人351-15" sheetId="2" r:id="rId2"/>
    <sheet name="股票期貨外匯" sheetId="3" r:id="rId3"/>
  </sheets>
  <externalReferences>
    <externalReference r:id="rId4"/>
    <externalReference r:id="rId5"/>
  </externalReferences>
  <calcPr calcId="125725"/>
</workbook>
</file>

<file path=xl/calcChain.xml><?xml version="1.0" encoding="utf-8"?>
<calcChain xmlns="http://schemas.openxmlformats.org/spreadsheetml/2006/main">
  <c r="R8" i="3"/>
  <c r="U7" i="2"/>
  <c r="R8" i="1"/>
  <c r="K28"/>
  <c r="M8" l="1"/>
  <c r="M7"/>
  <c r="L7"/>
  <c r="L8"/>
  <c r="M6"/>
  <c r="L6"/>
  <c r="K19"/>
  <c r="M13"/>
  <c r="K13"/>
  <c r="I6"/>
  <c r="I7"/>
  <c r="I8"/>
  <c r="G5"/>
  <c r="G6"/>
  <c r="G7"/>
  <c r="G8"/>
  <c r="C6"/>
  <c r="C7"/>
  <c r="C8"/>
  <c r="B6"/>
  <c r="B7"/>
  <c r="B8"/>
  <c r="I5" l="1"/>
  <c r="C5"/>
  <c r="B5"/>
  <c r="I4"/>
  <c r="I3"/>
  <c r="G4"/>
  <c r="C4"/>
  <c r="B4"/>
  <c r="K3"/>
  <c r="G3"/>
  <c r="F3"/>
  <c r="E3"/>
  <c r="N3" l="1"/>
  <c r="J3"/>
  <c r="F4"/>
  <c r="R3"/>
  <c r="D3"/>
  <c r="D4" s="1"/>
  <c r="D5" s="1"/>
  <c r="D6" s="1"/>
  <c r="D7" s="1"/>
  <c r="D8" s="1"/>
  <c r="R2"/>
  <c r="Q2"/>
  <c r="P2"/>
  <c r="O2"/>
  <c r="N2"/>
  <c r="K2"/>
  <c r="K4" s="1"/>
  <c r="K5" s="1"/>
  <c r="K6" s="1"/>
  <c r="K7" s="1"/>
  <c r="K8" s="1"/>
  <c r="J2"/>
  <c r="R14" i="3"/>
  <c r="Q14"/>
  <c r="N3"/>
  <c r="J3"/>
  <c r="F3"/>
  <c r="F4" s="1"/>
  <c r="E3"/>
  <c r="E4" s="1"/>
  <c r="D3"/>
  <c r="D4" s="1"/>
  <c r="D5" s="1"/>
  <c r="D6" s="1"/>
  <c r="D7" s="1"/>
  <c r="D8" s="1"/>
  <c r="R2"/>
  <c r="Q2"/>
  <c r="P2"/>
  <c r="O2"/>
  <c r="N2"/>
  <c r="K2"/>
  <c r="K3" s="1"/>
  <c r="K4" s="1"/>
  <c r="K5" s="1"/>
  <c r="K6" s="1"/>
  <c r="K7" s="1"/>
  <c r="K8" s="1"/>
  <c r="J2"/>
  <c r="O4" i="1" l="1"/>
  <c r="J4"/>
  <c r="F5"/>
  <c r="N4"/>
  <c r="P3"/>
  <c r="E4"/>
  <c r="R4" s="1"/>
  <c r="O3"/>
  <c r="Q3"/>
  <c r="O4" i="3"/>
  <c r="J4"/>
  <c r="F5"/>
  <c r="Q4"/>
  <c r="R4"/>
  <c r="N4"/>
  <c r="Q16"/>
  <c r="R16"/>
  <c r="P4"/>
  <c r="E5"/>
  <c r="P3"/>
  <c r="R15"/>
  <c r="O3"/>
  <c r="Q15"/>
  <c r="R3"/>
  <c r="Q3"/>
  <c r="Q4" i="1" l="1"/>
  <c r="E5"/>
  <c r="Q5" s="1"/>
  <c r="P4"/>
  <c r="F6"/>
  <c r="N5"/>
  <c r="O5"/>
  <c r="J5"/>
  <c r="E6" i="3"/>
  <c r="Q17"/>
  <c r="R17"/>
  <c r="P5"/>
  <c r="F6"/>
  <c r="Q5"/>
  <c r="R5"/>
  <c r="N5"/>
  <c r="O5"/>
  <c r="J5"/>
  <c r="R5" i="1" l="1"/>
  <c r="O6"/>
  <c r="J6"/>
  <c r="F7"/>
  <c r="N6"/>
  <c r="P5"/>
  <c r="E6"/>
  <c r="R6" s="1"/>
  <c r="O6" i="3"/>
  <c r="J6"/>
  <c r="F7"/>
  <c r="Q6"/>
  <c r="R6"/>
  <c r="N6"/>
  <c r="Q18"/>
  <c r="R18"/>
  <c r="E7"/>
  <c r="P6"/>
  <c r="Q6" i="1" l="1"/>
  <c r="E7"/>
  <c r="Q7" s="1"/>
  <c r="P6"/>
  <c r="F8"/>
  <c r="N7"/>
  <c r="O7"/>
  <c r="J7"/>
  <c r="Q19" i="3"/>
  <c r="R19"/>
  <c r="E8"/>
  <c r="P7"/>
  <c r="F8"/>
  <c r="Q7"/>
  <c r="R7"/>
  <c r="N7"/>
  <c r="O7"/>
  <c r="J7"/>
  <c r="R7" i="1" l="1"/>
  <c r="K25"/>
  <c r="O8"/>
  <c r="J8"/>
  <c r="M25"/>
  <c r="M28"/>
  <c r="N8"/>
  <c r="E8"/>
  <c r="P7"/>
  <c r="K25" i="3"/>
  <c r="O8"/>
  <c r="M25"/>
  <c r="J8"/>
  <c r="M28"/>
  <c r="Q8"/>
  <c r="N8"/>
  <c r="P8"/>
  <c r="Q20"/>
  <c r="R20"/>
  <c r="M19"/>
  <c r="M22" s="1"/>
  <c r="U13" i="2"/>
  <c r="T13"/>
  <c r="N12"/>
  <c r="B7"/>
  <c r="B6"/>
  <c r="B5"/>
  <c r="B4"/>
  <c r="S3"/>
  <c r="M3"/>
  <c r="L3"/>
  <c r="L4" s="1"/>
  <c r="I3"/>
  <c r="T3" s="1"/>
  <c r="H3"/>
  <c r="H4" s="1"/>
  <c r="B3"/>
  <c r="Q3" s="1"/>
  <c r="U2"/>
  <c r="T2"/>
  <c r="S2"/>
  <c r="R2"/>
  <c r="Q2"/>
  <c r="N2"/>
  <c r="N3" s="1"/>
  <c r="N4" s="1"/>
  <c r="N5" s="1"/>
  <c r="N6" s="1"/>
  <c r="N7" s="1"/>
  <c r="M2"/>
  <c r="G2"/>
  <c r="G3" s="1"/>
  <c r="G4" s="1"/>
  <c r="G5" s="1"/>
  <c r="G6" s="1"/>
  <c r="G7" s="1"/>
  <c r="P8" i="1" l="1"/>
  <c r="M19"/>
  <c r="M22" s="1"/>
  <c r="Q8"/>
  <c r="U15" i="2"/>
  <c r="H5"/>
  <c r="T15"/>
  <c r="S4"/>
  <c r="L5"/>
  <c r="R3"/>
  <c r="U14"/>
  <c r="U3"/>
  <c r="I4"/>
  <c r="M4" s="1"/>
  <c r="T14"/>
  <c r="R4" l="1"/>
  <c r="T4"/>
  <c r="I5"/>
  <c r="U4"/>
  <c r="H6"/>
  <c r="T16"/>
  <c r="U16"/>
  <c r="S5"/>
  <c r="L6"/>
  <c r="M5"/>
  <c r="Q4"/>
  <c r="U17" l="1"/>
  <c r="H7"/>
  <c r="T17"/>
  <c r="S6"/>
  <c r="T5"/>
  <c r="I6"/>
  <c r="U5"/>
  <c r="Q5"/>
  <c r="R5"/>
  <c r="L7"/>
  <c r="T6" l="1"/>
  <c r="I7"/>
  <c r="U6"/>
  <c r="Q6"/>
  <c r="R6"/>
  <c r="P18"/>
  <c r="T18"/>
  <c r="U18"/>
  <c r="S7"/>
  <c r="M7"/>
  <c r="M6"/>
  <c r="P21" l="1"/>
  <c r="T7"/>
  <c r="N24"/>
  <c r="P24"/>
  <c r="P27"/>
  <c r="R7"/>
  <c r="Q7"/>
</calcChain>
</file>

<file path=xl/sharedStrings.xml><?xml version="1.0" encoding="utf-8"?>
<sst xmlns="http://schemas.openxmlformats.org/spreadsheetml/2006/main" count="129" uniqueCount="49">
  <si>
    <t>年度</t>
    <phoneticPr fontId="2" type="noConversion"/>
  </si>
  <si>
    <t>結算損益</t>
    <phoneticPr fontId="2" type="noConversion"/>
  </si>
  <si>
    <t>租金收入</t>
    <phoneticPr fontId="2" type="noConversion"/>
  </si>
  <si>
    <t>扣除房貸結餘</t>
    <phoneticPr fontId="2" type="noConversion"/>
  </si>
  <si>
    <t>利息支出</t>
    <phoneticPr fontId="2" type="noConversion"/>
  </si>
  <si>
    <t>房貸支出</t>
    <phoneticPr fontId="2" type="noConversion"/>
  </si>
  <si>
    <t>累計盈餘</t>
    <phoneticPr fontId="2" type="noConversion"/>
  </si>
  <si>
    <t>期初股本</t>
    <phoneticPr fontId="2" type="noConversion"/>
  </si>
  <si>
    <t>期初股東權益</t>
    <phoneticPr fontId="2" type="noConversion"/>
  </si>
  <si>
    <t>期末現金增資</t>
    <phoneticPr fontId="2" type="noConversion"/>
  </si>
  <si>
    <t>資本公積</t>
    <phoneticPr fontId="2" type="noConversion"/>
  </si>
  <si>
    <t>期末債務</t>
    <phoneticPr fontId="2" type="noConversion"/>
  </si>
  <si>
    <t>負債比</t>
    <phoneticPr fontId="2" type="noConversion"/>
  </si>
  <si>
    <t>累積未分配盈餘</t>
    <phoneticPr fontId="2" type="noConversion"/>
  </si>
  <si>
    <t>現金股利</t>
    <phoneticPr fontId="2" type="noConversion"/>
  </si>
  <si>
    <t>股票股利</t>
    <phoneticPr fontId="2" type="noConversion"/>
  </si>
  <si>
    <t>ROE</t>
    <phoneticPr fontId="2" type="noConversion"/>
  </si>
  <si>
    <t>ROA</t>
    <phoneticPr fontId="2" type="noConversion"/>
  </si>
  <si>
    <t>EPS</t>
    <phoneticPr fontId="2" type="noConversion"/>
  </si>
  <si>
    <t>期初每股淨值</t>
    <phoneticPr fontId="2" type="noConversion"/>
  </si>
  <si>
    <t>期末每股淨值</t>
    <phoneticPr fontId="2" type="noConversion"/>
  </si>
  <si>
    <t>2011</t>
    <phoneticPr fontId="2" type="noConversion"/>
  </si>
  <si>
    <t>2012</t>
    <phoneticPr fontId="2" type="noConversion"/>
  </si>
  <si>
    <t>2013</t>
    <phoneticPr fontId="2" type="noConversion"/>
  </si>
  <si>
    <t>2014</t>
    <phoneticPr fontId="2" type="noConversion"/>
  </si>
  <si>
    <t>2015</t>
    <phoneticPr fontId="2" type="noConversion"/>
  </si>
  <si>
    <t>2016</t>
    <phoneticPr fontId="2" type="noConversion"/>
  </si>
  <si>
    <t>未實現損益</t>
    <phoneticPr fontId="2" type="noConversion"/>
  </si>
  <si>
    <t>年末預估現增</t>
    <phoneticPr fontId="2" type="noConversion"/>
  </si>
  <si>
    <t>股利分配</t>
    <phoneticPr fontId="2" type="noConversion"/>
  </si>
  <si>
    <t>現金</t>
    <phoneticPr fontId="2" type="noConversion"/>
  </si>
  <si>
    <t>股票</t>
    <phoneticPr fontId="2" type="noConversion"/>
  </si>
  <si>
    <t>未扣除費用成本</t>
    <phoneticPr fontId="2" type="noConversion"/>
  </si>
  <si>
    <t>年末現金股利</t>
    <phoneticPr fontId="2" type="noConversion"/>
  </si>
  <si>
    <t>帳上現金</t>
    <phoneticPr fontId="2" type="noConversion"/>
  </si>
  <si>
    <t>明年初預計股本</t>
    <phoneticPr fontId="2" type="noConversion"/>
  </si>
  <si>
    <t>目前剩餘債務</t>
    <phoneticPr fontId="2" type="noConversion"/>
  </si>
  <si>
    <t>預估明年初每股淨值</t>
    <phoneticPr fontId="2" type="noConversion"/>
  </si>
  <si>
    <t>目前負債比</t>
    <phoneticPr fontId="2" type="noConversion"/>
  </si>
  <si>
    <t>預估明年長期負債比</t>
    <phoneticPr fontId="2" type="noConversion"/>
  </si>
  <si>
    <t>預估明年長期負債</t>
    <phoneticPr fontId="2" type="noConversion"/>
  </si>
  <si>
    <t>預估明年最高負債比</t>
    <phoneticPr fontId="2" type="noConversion"/>
  </si>
  <si>
    <t>預估明年股東可轉債</t>
    <phoneticPr fontId="2" type="noConversion"/>
  </si>
  <si>
    <t>購入價</t>
    <phoneticPr fontId="2" type="noConversion"/>
  </si>
  <si>
    <t>市價</t>
    <phoneticPr fontId="2" type="noConversion"/>
  </si>
  <si>
    <t>債務(最高)</t>
    <phoneticPr fontId="2" type="noConversion"/>
  </si>
  <si>
    <t>2010</t>
    <phoneticPr fontId="2" type="noConversion"/>
  </si>
  <si>
    <t>固定收益</t>
    <phoneticPr fontId="2" type="noConversion"/>
  </si>
  <si>
    <t>債務</t>
    <phoneticPr fontId="2" type="noConversion"/>
  </si>
</sst>
</file>

<file path=xl/styles.xml><?xml version="1.0" encoding="utf-8"?>
<styleSheet xmlns="http://schemas.openxmlformats.org/spreadsheetml/2006/main">
  <fonts count="3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14" fontId="0" fillId="0" borderId="0" xfId="0" quotePrefix="1" applyNumberFormat="1">
      <alignment vertical="center"/>
    </xf>
    <xf numFmtId="0" fontId="1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合併報表!$B$1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[1]股票獲利曲線!$A$2:$A$8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合併報表!$B$2:$B$8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127539</c:v>
                </c:pt>
                <c:pt idx="3">
                  <c:v>166315</c:v>
                </c:pt>
                <c:pt idx="4">
                  <c:v>353370</c:v>
                </c:pt>
                <c:pt idx="5">
                  <c:v>1994975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合併報表!$D$1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[1]股票獲利曲線!$A$2:$A$8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合併報表!$D$2:$D$8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177608</c:v>
                </c:pt>
                <c:pt idx="3">
                  <c:v>343923</c:v>
                </c:pt>
                <c:pt idx="4">
                  <c:v>697293</c:v>
                </c:pt>
                <c:pt idx="5">
                  <c:v>2692268</c:v>
                </c:pt>
                <c:pt idx="6">
                  <c:v>2692268</c:v>
                </c:pt>
              </c:numCache>
            </c:numRef>
          </c:val>
        </c:ser>
        <c:ser>
          <c:idx val="2"/>
          <c:order val="2"/>
          <c:tx>
            <c:strRef>
              <c:f>合併報表!$C$1</c:f>
              <c:strCache>
                <c:ptCount val="1"/>
                <c:pt idx="0">
                  <c:v>固定收益</c:v>
                </c:pt>
              </c:strCache>
            </c:strRef>
          </c:tx>
          <c:marker>
            <c:symbol val="none"/>
          </c:marker>
          <c:cat>
            <c:strRef>
              <c:f>[1]股票獲利曲線!$A$2:$A$8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合併報表!$C$2:$C$8</c:f>
              <c:numCache>
                <c:formatCode>General</c:formatCode>
                <c:ptCount val="7"/>
                <c:pt idx="2">
                  <c:v>264733</c:v>
                </c:pt>
                <c:pt idx="3">
                  <c:v>241861</c:v>
                </c:pt>
                <c:pt idx="4">
                  <c:v>250472</c:v>
                </c:pt>
                <c:pt idx="5">
                  <c:v>538729</c:v>
                </c:pt>
                <c:pt idx="6">
                  <c:v>411500</c:v>
                </c:pt>
              </c:numCache>
            </c:numRef>
          </c:val>
        </c:ser>
        <c:marker val="1"/>
        <c:axId val="121237888"/>
        <c:axId val="121239424"/>
      </c:lineChart>
      <c:catAx>
        <c:axId val="121237888"/>
        <c:scaling>
          <c:orientation val="minMax"/>
        </c:scaling>
        <c:axPos val="b"/>
        <c:tickLblPos val="nextTo"/>
        <c:crossAx val="121239424"/>
        <c:crosses val="autoZero"/>
        <c:auto val="1"/>
        <c:lblAlgn val="ctr"/>
        <c:lblOffset val="100"/>
      </c:catAx>
      <c:valAx>
        <c:axId val="121239424"/>
        <c:scaling>
          <c:orientation val="minMax"/>
        </c:scaling>
        <c:axPos val="l"/>
        <c:majorGridlines/>
        <c:numFmt formatCode="General" sourceLinked="1"/>
        <c:tickLblPos val="nextTo"/>
        <c:crossAx val="121237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[2]財務報表!$B$1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[2]財務報表!$A$2:$A$7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[2]財務報表!$B$2:$B$7</c:f>
              <c:numCache>
                <c:formatCode>General</c:formatCode>
                <c:ptCount val="6"/>
                <c:pt idx="1">
                  <c:v>145131</c:v>
                </c:pt>
                <c:pt idx="2">
                  <c:v>128881</c:v>
                </c:pt>
                <c:pt idx="3">
                  <c:v>25603</c:v>
                </c:pt>
                <c:pt idx="4">
                  <c:v>102789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[2]財務報表!$G$1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[2]財務報表!$A$2:$A$7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[2]財務報表!$G$2:$G$7</c:f>
              <c:numCache>
                <c:formatCode>General</c:formatCode>
                <c:ptCount val="6"/>
                <c:pt idx="0">
                  <c:v>0</c:v>
                </c:pt>
                <c:pt idx="1">
                  <c:v>145131</c:v>
                </c:pt>
                <c:pt idx="2">
                  <c:v>274012</c:v>
                </c:pt>
                <c:pt idx="3">
                  <c:v>299615</c:v>
                </c:pt>
                <c:pt idx="4">
                  <c:v>402404</c:v>
                </c:pt>
                <c:pt idx="5">
                  <c:v>402404</c:v>
                </c:pt>
              </c:numCache>
            </c:numRef>
          </c:val>
        </c:ser>
        <c:ser>
          <c:idx val="2"/>
          <c:order val="2"/>
          <c:tx>
            <c:strRef>
              <c:f>[2]財務報表!$C$1</c:f>
              <c:strCache>
                <c:ptCount val="1"/>
                <c:pt idx="0">
                  <c:v>租金收入</c:v>
                </c:pt>
              </c:strCache>
            </c:strRef>
          </c:tx>
          <c:marker>
            <c:symbol val="none"/>
          </c:marker>
          <c:cat>
            <c:strRef>
              <c:f>[2]財務報表!$A$2:$A$7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[2]財務報表!$C$2:$C$7</c:f>
              <c:numCache>
                <c:formatCode>General</c:formatCode>
                <c:ptCount val="6"/>
                <c:pt idx="1">
                  <c:v>264733</c:v>
                </c:pt>
                <c:pt idx="2">
                  <c:v>232300</c:v>
                </c:pt>
                <c:pt idx="3">
                  <c:v>171550</c:v>
                </c:pt>
                <c:pt idx="4">
                  <c:v>225060</c:v>
                </c:pt>
                <c:pt idx="5">
                  <c:v>0</c:v>
                </c:pt>
              </c:numCache>
            </c:numRef>
          </c:val>
        </c:ser>
        <c:marker val="1"/>
        <c:axId val="138750976"/>
        <c:axId val="138752768"/>
      </c:lineChart>
      <c:catAx>
        <c:axId val="138750976"/>
        <c:scaling>
          <c:orientation val="minMax"/>
        </c:scaling>
        <c:axPos val="b"/>
        <c:tickLblPos val="nextTo"/>
        <c:crossAx val="138752768"/>
        <c:crosses val="autoZero"/>
        <c:auto val="1"/>
        <c:lblAlgn val="ctr"/>
        <c:lblOffset val="100"/>
      </c:catAx>
      <c:valAx>
        <c:axId val="138752768"/>
        <c:scaling>
          <c:orientation val="minMax"/>
        </c:scaling>
        <c:axPos val="l"/>
        <c:majorGridlines/>
        <c:numFmt formatCode="General" sourceLinked="1"/>
        <c:tickLblPos val="nextTo"/>
        <c:crossAx val="138750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[1]股票獲利曲線!$B$1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[1]股票獲利曲線!$A$2:$A$8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[1]股票獲利曲線!$B$2:$B$8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1892186</c:v>
                </c:pt>
              </c:numCache>
            </c:numRef>
          </c:val>
        </c:ser>
        <c:ser>
          <c:idx val="1"/>
          <c:order val="1"/>
          <c:tx>
            <c:strRef>
              <c:f>[1]股票獲利曲線!$D$1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[1]股票獲利曲線!$A$2:$A$8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[1]股票獲利曲線!$D$2:$D$8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2289864</c:v>
                </c:pt>
                <c:pt idx="6">
                  <c:v>2289864</c:v>
                </c:pt>
              </c:numCache>
            </c:numRef>
          </c:val>
        </c:ser>
        <c:ser>
          <c:idx val="2"/>
          <c:order val="2"/>
          <c:tx>
            <c:strRef>
              <c:f>[1]股票獲利曲線!$C$1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[1]股票獲利曲線!$A$2:$A$8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[1]股票獲利曲線!$C$2:$C$8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411500</c:v>
                </c:pt>
              </c:numCache>
            </c:numRef>
          </c:val>
        </c:ser>
        <c:marker val="1"/>
        <c:axId val="138811264"/>
        <c:axId val="138812800"/>
      </c:lineChart>
      <c:catAx>
        <c:axId val="138811264"/>
        <c:scaling>
          <c:orientation val="minMax"/>
        </c:scaling>
        <c:axPos val="b"/>
        <c:tickLblPos val="nextTo"/>
        <c:crossAx val="138812800"/>
        <c:crosses val="autoZero"/>
        <c:auto val="1"/>
        <c:lblAlgn val="ctr"/>
        <c:lblOffset val="100"/>
      </c:catAx>
      <c:valAx>
        <c:axId val="138812800"/>
        <c:scaling>
          <c:orientation val="minMax"/>
        </c:scaling>
        <c:axPos val="l"/>
        <c:majorGridlines/>
        <c:numFmt formatCode="General" sourceLinked="1"/>
        <c:tickLblPos val="nextTo"/>
        <c:crossAx val="138811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11</xdr:row>
      <xdr:rowOff>57151</xdr:rowOff>
    </xdr:from>
    <xdr:to>
      <xdr:col>9</xdr:col>
      <xdr:colOff>419100</xdr:colOff>
      <xdr:row>24</xdr:row>
      <xdr:rowOff>190501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10</xdr:row>
      <xdr:rowOff>57151</xdr:rowOff>
    </xdr:from>
    <xdr:to>
      <xdr:col>12</xdr:col>
      <xdr:colOff>419100</xdr:colOff>
      <xdr:row>23</xdr:row>
      <xdr:rowOff>190501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11</xdr:row>
      <xdr:rowOff>57151</xdr:rowOff>
    </xdr:from>
    <xdr:to>
      <xdr:col>9</xdr:col>
      <xdr:colOff>419100</xdr:colOff>
      <xdr:row>24</xdr:row>
      <xdr:rowOff>190501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132;&#26131;&#32000;&#37636;-&#32929;&#31080;&#27402;&#35657;&#21644;&#20844;&#21496;&#24115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6092;&#23627;&#27454;&#3891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老婆合資(投資)"/>
      <sheetName val="股票獲利曲線"/>
      <sheetName val="股份統計"/>
      <sheetName val="公司資金"/>
      <sheetName val="專案收入"/>
      <sheetName val="福利金"/>
    </sheetNames>
    <sheetDataSet>
      <sheetData sheetId="0" refreshError="1"/>
      <sheetData sheetId="1">
        <row r="1">
          <cell r="B1" t="str">
            <v>結算損益</v>
          </cell>
          <cell r="C1" t="str">
            <v>現金股利</v>
          </cell>
          <cell r="D1" t="str">
            <v>累計盈餘</v>
          </cell>
        </row>
        <row r="2">
          <cell r="A2" t="str">
            <v>2010</v>
          </cell>
          <cell r="B2">
            <v>29983</v>
          </cell>
          <cell r="D2">
            <v>29983</v>
          </cell>
        </row>
        <row r="3">
          <cell r="A3" t="str">
            <v>2011</v>
          </cell>
          <cell r="B3">
            <v>20086</v>
          </cell>
          <cell r="D3">
            <v>50069</v>
          </cell>
        </row>
        <row r="4">
          <cell r="A4" t="str">
            <v>2012</v>
          </cell>
          <cell r="B4">
            <v>-17592</v>
          </cell>
          <cell r="D4">
            <v>32477</v>
          </cell>
        </row>
        <row r="5">
          <cell r="A5" t="str">
            <v>2013</v>
          </cell>
          <cell r="B5">
            <v>37434</v>
          </cell>
          <cell r="C5">
            <v>9561</v>
          </cell>
          <cell r="D5">
            <v>69911</v>
          </cell>
        </row>
        <row r="6">
          <cell r="A6" t="str">
            <v>2014</v>
          </cell>
          <cell r="B6">
            <v>327767</v>
          </cell>
          <cell r="C6">
            <v>78922</v>
          </cell>
          <cell r="D6">
            <v>397678</v>
          </cell>
        </row>
        <row r="7">
          <cell r="A7" t="str">
            <v>2015</v>
          </cell>
          <cell r="B7">
            <v>1892186</v>
          </cell>
          <cell r="C7">
            <v>313669</v>
          </cell>
          <cell r="D7">
            <v>2289864</v>
          </cell>
        </row>
        <row r="8">
          <cell r="A8" t="str">
            <v>2016</v>
          </cell>
          <cell r="C8">
            <v>411500</v>
          </cell>
          <cell r="D8">
            <v>2289864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銀行帳目"/>
      <sheetName val="交屋後明細"/>
      <sheetName val="交屋前支出"/>
      <sheetName val="借款"/>
      <sheetName val="財務報表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 t="str">
            <v>結算損益</v>
          </cell>
          <cell r="C1" t="str">
            <v>租金收入</v>
          </cell>
          <cell r="G1" t="str">
            <v>累計盈餘</v>
          </cell>
        </row>
        <row r="2">
          <cell r="A2" t="str">
            <v>2011</v>
          </cell>
          <cell r="G2">
            <v>0</v>
          </cell>
        </row>
        <row r="3">
          <cell r="A3" t="str">
            <v>2012</v>
          </cell>
          <cell r="B3">
            <v>145131</v>
          </cell>
          <cell r="C3">
            <v>264733</v>
          </cell>
          <cell r="G3">
            <v>145131</v>
          </cell>
        </row>
        <row r="4">
          <cell r="A4" t="str">
            <v>2013</v>
          </cell>
          <cell r="B4">
            <v>128881</v>
          </cell>
          <cell r="C4">
            <v>232300</v>
          </cell>
          <cell r="G4">
            <v>274012</v>
          </cell>
        </row>
        <row r="5">
          <cell r="A5" t="str">
            <v>2014</v>
          </cell>
          <cell r="B5">
            <v>25603</v>
          </cell>
          <cell r="C5">
            <v>171550</v>
          </cell>
          <cell r="G5">
            <v>299615</v>
          </cell>
        </row>
        <row r="6">
          <cell r="A6" t="str">
            <v>2015</v>
          </cell>
          <cell r="B6">
            <v>102789</v>
          </cell>
          <cell r="C6">
            <v>225060</v>
          </cell>
          <cell r="G6">
            <v>402404</v>
          </cell>
        </row>
        <row r="7">
          <cell r="A7" t="str">
            <v>2016</v>
          </cell>
          <cell r="B7">
            <v>0</v>
          </cell>
          <cell r="C7">
            <v>0</v>
          </cell>
          <cell r="G7">
            <v>402404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1"/>
  <sheetViews>
    <sheetView zoomScale="85" zoomScaleNormal="85" workbookViewId="0">
      <selection activeCell="R9" sqref="R9"/>
    </sheetView>
  </sheetViews>
  <sheetFormatPr defaultRowHeight="16.5"/>
  <cols>
    <col min="1" max="1" width="6.125" customWidth="1"/>
    <col min="2" max="3" width="9.125" customWidth="1"/>
    <col min="6" max="6" width="12.625" customWidth="1"/>
    <col min="7" max="7" width="13" customWidth="1"/>
    <col min="8" max="8" width="8.8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1" t="s">
        <v>0</v>
      </c>
      <c r="B1" s="1" t="s">
        <v>1</v>
      </c>
      <c r="C1" s="1" t="s">
        <v>47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48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</row>
    <row r="2" spans="1:18">
      <c r="A2" s="2" t="s">
        <v>46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8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8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2" t="s">
        <v>21</v>
      </c>
      <c r="B3">
        <v>20086</v>
      </c>
      <c r="D3">
        <f t="shared" ref="D3:D8" si="2">D2+B3</f>
        <v>50069</v>
      </c>
      <c r="E3">
        <f>'達人351-15'!H2+股票期貨外匯!E3</f>
        <v>1957798</v>
      </c>
      <c r="F3">
        <f>'達人351-15'!I2+股票期貨外匯!F3</f>
        <v>1981781</v>
      </c>
      <c r="G3">
        <f>'達人351-15'!J2+股票期貨外匯!G3</f>
        <v>155000</v>
      </c>
      <c r="I3">
        <f>'達人351-15'!L2+股票期貨外匯!I3</f>
        <v>4500000</v>
      </c>
      <c r="J3">
        <f t="shared" si="0"/>
        <v>69.425363183359636</v>
      </c>
      <c r="K3">
        <f>'達人351-15'!N2+股票期貨外匯!K3</f>
        <v>44069</v>
      </c>
      <c r="L3">
        <v>0</v>
      </c>
      <c r="M3">
        <v>0</v>
      </c>
      <c r="N3">
        <f t="shared" ref="N3:N8" si="3">(B3/F3)*100</f>
        <v>1.0135327768305378</v>
      </c>
      <c r="O3">
        <f t="shared" si="1"/>
        <v>0.30988396553354702</v>
      </c>
      <c r="P3">
        <f t="shared" ref="P3:P8" si="4">(B3/E3)*10</f>
        <v>0.10259485401456125</v>
      </c>
      <c r="Q3">
        <f t="shared" ref="Q3:Q7" si="5">(F3/E3)*10</f>
        <v>10.122499869751628</v>
      </c>
      <c r="R3">
        <f t="shared" ref="R3:R5" si="6">((F3+B3-L3)/(E3))*10</f>
        <v>10.22509472376619</v>
      </c>
    </row>
    <row r="4" spans="1:18">
      <c r="A4" s="2" t="s">
        <v>22</v>
      </c>
      <c r="B4">
        <f>'達人351-15'!B3+股票期貨外匯!B4</f>
        <v>127539</v>
      </c>
      <c r="C4">
        <f>'達人351-15'!C3+股票期貨外匯!C4</f>
        <v>264733</v>
      </c>
      <c r="D4">
        <f t="shared" si="2"/>
        <v>177608</v>
      </c>
      <c r="E4">
        <f t="shared" ref="E4:E6" si="7">E3+G3+M3</f>
        <v>2112798</v>
      </c>
      <c r="F4">
        <f t="shared" ref="F4:F7" si="8">F3+B3+G3+H3-L3</f>
        <v>2156867</v>
      </c>
      <c r="G4">
        <f>'達人351-15'!J3+股票期貨外匯!G4</f>
        <v>200000</v>
      </c>
      <c r="I4">
        <f>'達人351-15'!L3+股票期貨外匯!I4</f>
        <v>4325802</v>
      </c>
      <c r="J4">
        <f t="shared" si="0"/>
        <v>66.728719297560929</v>
      </c>
      <c r="K4">
        <f t="shared" ref="K4:K8" si="9">K3+B4-L4-M4</f>
        <v>171608</v>
      </c>
      <c r="L4">
        <v>0</v>
      </c>
      <c r="M4">
        <v>0</v>
      </c>
      <c r="N4">
        <f t="shared" si="3"/>
        <v>5.9131601531295157</v>
      </c>
      <c r="O4">
        <f t="shared" si="1"/>
        <v>1.9673841129324976</v>
      </c>
      <c r="P4">
        <f t="shared" si="4"/>
        <v>0.60364975733600656</v>
      </c>
      <c r="Q4">
        <f t="shared" si="5"/>
        <v>10.208581227358223</v>
      </c>
      <c r="R4">
        <f t="shared" si="6"/>
        <v>10.812230984694231</v>
      </c>
    </row>
    <row r="5" spans="1:18">
      <c r="A5" s="2" t="s">
        <v>23</v>
      </c>
      <c r="B5">
        <f>'達人351-15'!B4+股票期貨外匯!B5</f>
        <v>166315</v>
      </c>
      <c r="C5">
        <f>'達人351-15'!C4+股票期貨外匯!C5</f>
        <v>241861</v>
      </c>
      <c r="D5">
        <f t="shared" si="2"/>
        <v>343923</v>
      </c>
      <c r="E5">
        <f t="shared" si="7"/>
        <v>2312798</v>
      </c>
      <c r="F5">
        <f t="shared" si="8"/>
        <v>2484406</v>
      </c>
      <c r="G5">
        <f>'達人351-15'!J4+股票期貨外匯!G5</f>
        <v>680000</v>
      </c>
      <c r="I5">
        <f>'達人351-15'!L4+股票期貨外匯!I5</f>
        <v>4732611</v>
      </c>
      <c r="J5">
        <f t="shared" si="0"/>
        <v>65.57572193608523</v>
      </c>
      <c r="K5">
        <f t="shared" si="9"/>
        <v>337923</v>
      </c>
      <c r="L5">
        <v>0</v>
      </c>
      <c r="M5">
        <v>0</v>
      </c>
      <c r="N5">
        <f t="shared" si="3"/>
        <v>6.6943567194733875</v>
      </c>
      <c r="O5">
        <f t="shared" si="1"/>
        <v>2.3044839717018819</v>
      </c>
      <c r="P5">
        <f t="shared" si="4"/>
        <v>0.71910733233079593</v>
      </c>
      <c r="Q5">
        <f t="shared" si="5"/>
        <v>10.741993031816872</v>
      </c>
      <c r="R5">
        <f t="shared" si="6"/>
        <v>11.461100364147669</v>
      </c>
    </row>
    <row r="6" spans="1:18">
      <c r="A6" s="2" t="s">
        <v>24</v>
      </c>
      <c r="B6">
        <f>'達人351-15'!B5+股票期貨外匯!B6</f>
        <v>353370</v>
      </c>
      <c r="C6">
        <f>'達人351-15'!C5+股票期貨外匯!C6</f>
        <v>250472</v>
      </c>
      <c r="D6">
        <f t="shared" si="2"/>
        <v>697293</v>
      </c>
      <c r="E6">
        <f t="shared" si="7"/>
        <v>2992798</v>
      </c>
      <c r="F6">
        <f t="shared" si="8"/>
        <v>3330721</v>
      </c>
      <c r="G6">
        <f>'達人351-15'!J5+股票期貨外匯!G6</f>
        <v>1196500</v>
      </c>
      <c r="H6">
        <v>37500</v>
      </c>
      <c r="I6">
        <f>'達人351-15'!L5+股票期貨外匯!I6</f>
        <v>4740894</v>
      </c>
      <c r="J6">
        <f t="shared" si="0"/>
        <v>58.735383191591772</v>
      </c>
      <c r="K6">
        <f t="shared" si="9"/>
        <v>551293</v>
      </c>
      <c r="L6">
        <f>'達人351-15'!O5+股票期貨外匯!L6</f>
        <v>0</v>
      </c>
      <c r="M6">
        <f>'達人351-15'!P5+股票期貨外匯!M6</f>
        <v>140000</v>
      </c>
      <c r="N6">
        <f t="shared" si="3"/>
        <v>10.609414598220626</v>
      </c>
      <c r="O6">
        <f t="shared" si="1"/>
        <v>4.3779342795710647</v>
      </c>
      <c r="P6">
        <f t="shared" si="4"/>
        <v>1.1807345500765503</v>
      </c>
      <c r="Q6">
        <f t="shared" si="5"/>
        <v>11.129120642288587</v>
      </c>
      <c r="R6">
        <f>((F6+B6-L6)/(E6))*10</f>
        <v>12.309855192365138</v>
      </c>
    </row>
    <row r="7" spans="1:18">
      <c r="A7" s="2" t="s">
        <v>25</v>
      </c>
      <c r="B7">
        <f>'達人351-15'!B6+股票期貨外匯!B7</f>
        <v>1994975</v>
      </c>
      <c r="C7">
        <f>'達人351-15'!C6+股票期貨外匯!C7</f>
        <v>538729</v>
      </c>
      <c r="D7">
        <f t="shared" si="2"/>
        <v>2692268</v>
      </c>
      <c r="E7">
        <f>E6+G6+M6</f>
        <v>4329298</v>
      </c>
      <c r="F7">
        <f t="shared" si="8"/>
        <v>4918091</v>
      </c>
      <c r="G7">
        <f>'達人351-15'!J6+股票期貨外匯!G7</f>
        <v>842500</v>
      </c>
      <c r="H7">
        <v>39000</v>
      </c>
      <c r="I7">
        <f>'達人351-15'!L6+股票期貨外匯!I7</f>
        <v>7788030</v>
      </c>
      <c r="J7">
        <f t="shared" si="0"/>
        <v>61.293529315516516</v>
      </c>
      <c r="K7">
        <f t="shared" si="9"/>
        <v>2040312</v>
      </c>
      <c r="L7">
        <f>'達人351-15'!O6+股票期貨外匯!L7</f>
        <v>122656</v>
      </c>
      <c r="M7">
        <f>'達人351-15'!P6+股票期貨外匯!M7</f>
        <v>383300</v>
      </c>
      <c r="N7">
        <f t="shared" si="3"/>
        <v>40.564011523983595</v>
      </c>
      <c r="O7">
        <f t="shared" si="1"/>
        <v>15.700897228981214</v>
      </c>
      <c r="P7">
        <f t="shared" si="4"/>
        <v>4.6080796470929002</v>
      </c>
      <c r="Q7">
        <f t="shared" si="5"/>
        <v>11.360019568992479</v>
      </c>
      <c r="R7">
        <f>((F7+B7-L7)/(E7))*10</f>
        <v>15.684783075685711</v>
      </c>
    </row>
    <row r="8" spans="1:18">
      <c r="A8" s="2" t="s">
        <v>26</v>
      </c>
      <c r="B8">
        <f>'達人351-15'!B7+股票期貨外匯!B8</f>
        <v>0</v>
      </c>
      <c r="C8">
        <f>'達人351-15'!C7+股票期貨外匯!C8</f>
        <v>411500</v>
      </c>
      <c r="D8">
        <f t="shared" si="2"/>
        <v>2692268</v>
      </c>
      <c r="E8">
        <f>E7+G7+M7</f>
        <v>5555098</v>
      </c>
      <c r="F8">
        <f>F7+B7+G7+H7-L7</f>
        <v>7671910</v>
      </c>
      <c r="G8">
        <f>'達人351-15'!J7+股票期貨外匯!G8</f>
        <v>0</v>
      </c>
      <c r="H8">
        <v>39000</v>
      </c>
      <c r="I8">
        <f>'達人351-15'!L7+股票期貨外匯!I8</f>
        <v>7720208</v>
      </c>
      <c r="J8">
        <f t="shared" si="0"/>
        <v>50.156891988483977</v>
      </c>
      <c r="K8">
        <f t="shared" si="9"/>
        <v>2040312</v>
      </c>
      <c r="L8">
        <f>'達人351-15'!O7+股票期貨外匯!L8</f>
        <v>0</v>
      </c>
      <c r="M8">
        <f>'達人351-15'!P7+股票期貨外匯!M8</f>
        <v>0</v>
      </c>
      <c r="N8">
        <f t="shared" si="3"/>
        <v>0</v>
      </c>
      <c r="O8">
        <f t="shared" si="1"/>
        <v>0</v>
      </c>
      <c r="P8">
        <f t="shared" si="4"/>
        <v>0</v>
      </c>
      <c r="Q8">
        <f>(F8/E8)*10</f>
        <v>13.810575438993155</v>
      </c>
      <c r="R8" s="3">
        <f>((F8+B8-L8+K13-K16)/(E8))*10</f>
        <v>15.736204833830115</v>
      </c>
    </row>
    <row r="9" spans="1:18">
      <c r="A9" s="2"/>
      <c r="R9" s="3"/>
    </row>
    <row r="10" spans="1:18">
      <c r="A10" s="2"/>
      <c r="R10" s="3"/>
    </row>
    <row r="12" spans="1:18">
      <c r="K12" s="1" t="s">
        <v>27</v>
      </c>
      <c r="M12" s="1" t="s">
        <v>28</v>
      </c>
    </row>
    <row r="13" spans="1:18">
      <c r="K13">
        <f>'達人351-15'!N12+股票期貨外匯!K13</f>
        <v>1069706</v>
      </c>
      <c r="M13">
        <f>'達人351-15'!P12+股票期貨外匯!M13</f>
        <v>820000</v>
      </c>
    </row>
    <row r="15" spans="1:18">
      <c r="K15" s="1" t="s">
        <v>32</v>
      </c>
      <c r="M15" s="1" t="s">
        <v>33</v>
      </c>
      <c r="N15" s="1" t="s">
        <v>15</v>
      </c>
    </row>
    <row r="18" spans="11:13">
      <c r="K18" s="1" t="s">
        <v>34</v>
      </c>
      <c r="M18" s="1" t="s">
        <v>35</v>
      </c>
    </row>
    <row r="19" spans="11:13">
      <c r="K19">
        <f>'達人351-15'!N18+股票期貨外匯!K19</f>
        <v>159619</v>
      </c>
      <c r="M19">
        <f>E8+M13+((E8/10)*N16)</f>
        <v>6375098</v>
      </c>
    </row>
    <row r="21" spans="11:13">
      <c r="K21" s="1" t="s">
        <v>36</v>
      </c>
      <c r="M21" s="1" t="s">
        <v>37</v>
      </c>
    </row>
    <row r="22" spans="11:13">
      <c r="M22">
        <f>((F8+B8+M13-((E8/10)*M16))/M19)*10</f>
        <v>13.320438368163126</v>
      </c>
    </row>
    <row r="24" spans="11:13">
      <c r="K24" s="1" t="s">
        <v>38</v>
      </c>
      <c r="M24" s="1" t="s">
        <v>39</v>
      </c>
    </row>
    <row r="25" spans="11:13">
      <c r="K25">
        <f>K22/(F8+B8+K13-K16+K22+K19)*100</f>
        <v>0</v>
      </c>
      <c r="M25">
        <f>K28/(F8+B8+K13+M13-K16+K22+K28)*100</f>
        <v>41.420209552773549</v>
      </c>
    </row>
    <row r="27" spans="11:13">
      <c r="K27" s="1" t="s">
        <v>40</v>
      </c>
      <c r="M27" s="1" t="s">
        <v>41</v>
      </c>
    </row>
    <row r="28" spans="11:13">
      <c r="K28">
        <f>'達人351-15'!N27+股票期貨外匯!K28</f>
        <v>6760764</v>
      </c>
      <c r="M28">
        <f>(K28+K31)/(F8+B8+K13+M13-K16+K22+K28+K31)*100</f>
        <v>43.161336267519815</v>
      </c>
    </row>
    <row r="30" spans="11:13">
      <c r="K30" s="1" t="s">
        <v>42</v>
      </c>
    </row>
    <row r="31" spans="11:13">
      <c r="K31">
        <v>500000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2"/>
  <sheetViews>
    <sheetView topLeftCell="D2" zoomScale="85" zoomScaleNormal="85" workbookViewId="0">
      <selection activeCell="U8" sqref="U8"/>
    </sheetView>
  </sheetViews>
  <sheetFormatPr defaultRowHeight="16.5"/>
  <cols>
    <col min="1" max="1" width="6.125" customWidth="1"/>
    <col min="2" max="3" width="9.125" customWidth="1"/>
    <col min="4" max="4" width="12.5" customWidth="1"/>
    <col min="5" max="6" width="9.125" customWidth="1"/>
    <col min="9" max="9" width="12.625" customWidth="1"/>
    <col min="10" max="10" width="13" customWidth="1"/>
    <col min="11" max="11" width="8.875" customWidth="1"/>
    <col min="12" max="12" width="10.625" customWidth="1"/>
    <col min="14" max="14" width="15.5" customWidth="1"/>
    <col min="15" max="15" width="9.625" customWidth="1"/>
    <col min="16" max="16" width="12.625" customWidth="1"/>
    <col min="17" max="17" width="6.75" customWidth="1"/>
    <col min="18" max="18" width="10.25" customWidth="1"/>
    <col min="19" max="19" width="7" customWidth="1"/>
    <col min="20" max="20" width="12.125" customWidth="1"/>
    <col min="21" max="21" width="12.75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21</v>
      </c>
      <c r="G2">
        <f>B2</f>
        <v>0</v>
      </c>
      <c r="H2">
        <v>1937798</v>
      </c>
      <c r="I2">
        <v>1937798</v>
      </c>
      <c r="J2">
        <v>115000</v>
      </c>
      <c r="K2">
        <v>0</v>
      </c>
      <c r="L2">
        <v>4500000</v>
      </c>
      <c r="M2">
        <f t="shared" ref="M2:M7" si="0">L2/(I2+L2)*100</f>
        <v>69.899676877093682</v>
      </c>
      <c r="N2">
        <f>B2-O2-P2</f>
        <v>0</v>
      </c>
      <c r="O2">
        <v>0</v>
      </c>
      <c r="P2">
        <v>0</v>
      </c>
      <c r="Q2">
        <f t="shared" ref="Q2:Q7" si="1">(B2/I2)*100</f>
        <v>0</v>
      </c>
      <c r="R2">
        <f t="shared" ref="R2:R7" si="2">(B2/(I2+L2))*100</f>
        <v>0</v>
      </c>
      <c r="S2">
        <f t="shared" ref="S2:S7" si="3">(B2/H2)*10</f>
        <v>0</v>
      </c>
      <c r="T2">
        <f t="shared" ref="T2:T6" si="4">(I2/H2)*10</f>
        <v>10</v>
      </c>
      <c r="U2">
        <f t="shared" ref="U2:U4" si="5">((I2+B2-O2)/(H2))*10</f>
        <v>10</v>
      </c>
    </row>
    <row r="3" spans="1:21">
      <c r="A3" s="2" t="s">
        <v>22</v>
      </c>
      <c r="B3">
        <f>D3-E3</f>
        <v>145131</v>
      </c>
      <c r="C3">
        <v>264733</v>
      </c>
      <c r="D3">
        <v>214836</v>
      </c>
      <c r="E3">
        <v>69705</v>
      </c>
      <c r="F3">
        <v>243903</v>
      </c>
      <c r="G3">
        <f t="shared" ref="G3:G7" si="6">G2+B3</f>
        <v>145131</v>
      </c>
      <c r="H3">
        <f t="shared" ref="H3:H5" si="7">H2+J2+P2</f>
        <v>2052798</v>
      </c>
      <c r="I3">
        <f t="shared" ref="I3:I6" si="8">I2+B2+J2+K2-O2</f>
        <v>2052798</v>
      </c>
      <c r="J3">
        <v>120000</v>
      </c>
      <c r="K3">
        <v>0</v>
      </c>
      <c r="L3">
        <f>L2-F3+E3</f>
        <v>4325802</v>
      </c>
      <c r="M3">
        <f t="shared" si="0"/>
        <v>67.817420750634938</v>
      </c>
      <c r="N3">
        <f t="shared" ref="N3:N7" si="9">N2+B3-O3-P3</f>
        <v>145131</v>
      </c>
      <c r="O3">
        <v>0</v>
      </c>
      <c r="P3">
        <v>0</v>
      </c>
      <c r="Q3">
        <f t="shared" si="1"/>
        <v>7.0699114087211701</v>
      </c>
      <c r="R3">
        <f t="shared" si="2"/>
        <v>2.2752798419715927</v>
      </c>
      <c r="S3">
        <f t="shared" si="3"/>
        <v>0.70699114087211701</v>
      </c>
      <c r="T3">
        <f t="shared" si="4"/>
        <v>10</v>
      </c>
      <c r="U3">
        <f t="shared" si="5"/>
        <v>10.706991140872118</v>
      </c>
    </row>
    <row r="4" spans="1:21">
      <c r="A4" s="2" t="s">
        <v>23</v>
      </c>
      <c r="B4">
        <f t="shared" ref="B4:B7" si="10">D4-E4</f>
        <v>128881</v>
      </c>
      <c r="C4">
        <v>232300</v>
      </c>
      <c r="D4">
        <v>201766</v>
      </c>
      <c r="E4">
        <v>72885</v>
      </c>
      <c r="F4">
        <v>266076</v>
      </c>
      <c r="G4">
        <f t="shared" si="6"/>
        <v>274012</v>
      </c>
      <c r="H4">
        <f t="shared" si="7"/>
        <v>2172798</v>
      </c>
      <c r="I4">
        <f t="shared" si="8"/>
        <v>2317929</v>
      </c>
      <c r="J4">
        <v>120000</v>
      </c>
      <c r="K4">
        <v>0</v>
      </c>
      <c r="L4">
        <f t="shared" ref="L4:L7" si="11">L3-F4+E4</f>
        <v>4132611</v>
      </c>
      <c r="M4">
        <f t="shared" si="0"/>
        <v>64.066124696537031</v>
      </c>
      <c r="N4">
        <f t="shared" si="9"/>
        <v>274012</v>
      </c>
      <c r="O4">
        <v>0</v>
      </c>
      <c r="P4">
        <v>0</v>
      </c>
      <c r="Q4">
        <f t="shared" si="1"/>
        <v>5.560178935592937</v>
      </c>
      <c r="R4">
        <f t="shared" si="2"/>
        <v>1.9979877653653801</v>
      </c>
      <c r="S4">
        <f t="shared" si="3"/>
        <v>0.59315684200740248</v>
      </c>
      <c r="T4">
        <f t="shared" si="4"/>
        <v>10.667945202453241</v>
      </c>
      <c r="U4">
        <f t="shared" si="5"/>
        <v>11.261102044460644</v>
      </c>
    </row>
    <row r="5" spans="1:21">
      <c r="A5" s="2" t="s">
        <v>24</v>
      </c>
      <c r="B5">
        <f t="shared" si="10"/>
        <v>25603</v>
      </c>
      <c r="C5">
        <v>171550</v>
      </c>
      <c r="D5">
        <v>106276</v>
      </c>
      <c r="E5">
        <v>80673</v>
      </c>
      <c r="F5">
        <v>272390</v>
      </c>
      <c r="G5">
        <f t="shared" si="6"/>
        <v>299615</v>
      </c>
      <c r="H5">
        <f t="shared" si="7"/>
        <v>2292798</v>
      </c>
      <c r="I5">
        <f t="shared" si="8"/>
        <v>2566810</v>
      </c>
      <c r="J5">
        <v>120000</v>
      </c>
      <c r="K5">
        <v>0</v>
      </c>
      <c r="L5">
        <f t="shared" si="11"/>
        <v>3940894</v>
      </c>
      <c r="M5">
        <f t="shared" si="0"/>
        <v>60.55736401040982</v>
      </c>
      <c r="N5">
        <f t="shared" si="9"/>
        <v>299615</v>
      </c>
      <c r="O5">
        <v>0</v>
      </c>
      <c r="P5">
        <v>0</v>
      </c>
      <c r="Q5">
        <f t="shared" si="1"/>
        <v>0.99746377799681318</v>
      </c>
      <c r="R5">
        <f t="shared" si="2"/>
        <v>0.393426007083297</v>
      </c>
      <c r="S5">
        <f t="shared" si="3"/>
        <v>0.11166705483867309</v>
      </c>
      <c r="T5">
        <f t="shared" si="4"/>
        <v>11.195098739618579</v>
      </c>
      <c r="U5">
        <f>((I5+B5-O5)/(H5))*10</f>
        <v>11.306765794457252</v>
      </c>
    </row>
    <row r="6" spans="1:21">
      <c r="A6" s="2" t="s">
        <v>25</v>
      </c>
      <c r="B6">
        <f t="shared" si="10"/>
        <v>102789</v>
      </c>
      <c r="C6">
        <v>225060</v>
      </c>
      <c r="D6">
        <v>180125</v>
      </c>
      <c r="E6">
        <v>77336</v>
      </c>
      <c r="F6">
        <v>272718</v>
      </c>
      <c r="G6">
        <f t="shared" si="6"/>
        <v>402404</v>
      </c>
      <c r="H6">
        <f>H5+J5+P5</f>
        <v>2412798</v>
      </c>
      <c r="I6">
        <f t="shared" si="8"/>
        <v>2712413</v>
      </c>
      <c r="J6">
        <v>120000</v>
      </c>
      <c r="K6">
        <v>0</v>
      </c>
      <c r="L6">
        <f t="shared" si="11"/>
        <v>3745512</v>
      </c>
      <c r="M6">
        <f t="shared" si="0"/>
        <v>57.998691530174163</v>
      </c>
      <c r="N6">
        <f t="shared" si="9"/>
        <v>402404</v>
      </c>
      <c r="O6">
        <v>0</v>
      </c>
      <c r="P6">
        <v>0</v>
      </c>
      <c r="Q6">
        <f t="shared" si="1"/>
        <v>3.7895777671025761</v>
      </c>
      <c r="R6">
        <f t="shared" si="2"/>
        <v>1.591672247664691</v>
      </c>
      <c r="S6">
        <f t="shared" si="3"/>
        <v>0.42601577090166687</v>
      </c>
      <c r="T6">
        <f t="shared" si="4"/>
        <v>11.241774073088589</v>
      </c>
      <c r="U6">
        <f>((I6+B6-O6)/(H6))*10</f>
        <v>11.667789843990255</v>
      </c>
    </row>
    <row r="7" spans="1:21">
      <c r="A7" s="2" t="s">
        <v>26</v>
      </c>
      <c r="B7">
        <f t="shared" si="10"/>
        <v>0</v>
      </c>
      <c r="G7">
        <f t="shared" si="6"/>
        <v>402404</v>
      </c>
      <c r="H7">
        <f>H6+J6+P6</f>
        <v>2532798</v>
      </c>
      <c r="I7">
        <f>I6+B6+J6+K6-O6</f>
        <v>2935202</v>
      </c>
      <c r="L7">
        <f t="shared" si="11"/>
        <v>3745512</v>
      </c>
      <c r="M7">
        <f t="shared" si="0"/>
        <v>56.064546394292591</v>
      </c>
      <c r="N7">
        <f t="shared" si="9"/>
        <v>402404</v>
      </c>
      <c r="O7">
        <v>0</v>
      </c>
      <c r="P7">
        <v>0</v>
      </c>
      <c r="Q7">
        <f t="shared" si="1"/>
        <v>0</v>
      </c>
      <c r="R7">
        <f t="shared" si="2"/>
        <v>0</v>
      </c>
      <c r="S7">
        <f t="shared" si="3"/>
        <v>0</v>
      </c>
      <c r="T7">
        <f>(I7/H7)*10</f>
        <v>11.588772574836208</v>
      </c>
      <c r="U7" s="3">
        <f>((I7+B7-O7+N12-N15)/(H7))*10</f>
        <v>18.498127367441064</v>
      </c>
    </row>
    <row r="8" spans="1:21">
      <c r="A8" s="2"/>
      <c r="U8" s="3"/>
    </row>
    <row r="9" spans="1:21">
      <c r="A9" s="2"/>
      <c r="U9" s="3"/>
    </row>
    <row r="11" spans="1:21">
      <c r="N11" s="1" t="s">
        <v>27</v>
      </c>
      <c r="P11" s="1" t="s">
        <v>28</v>
      </c>
      <c r="S11" s="1" t="s">
        <v>29</v>
      </c>
      <c r="T11" s="1"/>
      <c r="U11" s="1"/>
    </row>
    <row r="12" spans="1:21">
      <c r="N12">
        <f>P32-N32</f>
        <v>1750000</v>
      </c>
      <c r="P12">
        <v>120000</v>
      </c>
      <c r="S12" s="1" t="s">
        <v>0</v>
      </c>
      <c r="T12" s="1" t="s">
        <v>30</v>
      </c>
      <c r="U12" s="1" t="s">
        <v>31</v>
      </c>
    </row>
    <row r="13" spans="1:21">
      <c r="S13">
        <v>2011</v>
      </c>
      <c r="T13">
        <f t="shared" ref="T13:T18" si="12">O2/(H2/10)</f>
        <v>0</v>
      </c>
      <c r="U13">
        <f t="shared" ref="U13:U18" si="13">P2/(H2/10)</f>
        <v>0</v>
      </c>
    </row>
    <row r="14" spans="1:21">
      <c r="N14" s="1" t="s">
        <v>32</v>
      </c>
      <c r="P14" s="1" t="s">
        <v>33</v>
      </c>
      <c r="Q14" s="1" t="s">
        <v>15</v>
      </c>
      <c r="S14">
        <v>2012</v>
      </c>
      <c r="T14">
        <f t="shared" si="12"/>
        <v>0</v>
      </c>
      <c r="U14">
        <f t="shared" si="13"/>
        <v>0</v>
      </c>
    </row>
    <row r="15" spans="1:21">
      <c r="S15">
        <v>2013</v>
      </c>
      <c r="T15">
        <f t="shared" si="12"/>
        <v>0</v>
      </c>
      <c r="U15">
        <f t="shared" si="13"/>
        <v>0</v>
      </c>
    </row>
    <row r="16" spans="1:21">
      <c r="S16">
        <v>2014</v>
      </c>
      <c r="T16">
        <f t="shared" si="12"/>
        <v>0</v>
      </c>
      <c r="U16">
        <f t="shared" si="13"/>
        <v>0</v>
      </c>
    </row>
    <row r="17" spans="14:21">
      <c r="N17" s="1" t="s">
        <v>34</v>
      </c>
      <c r="P17" s="1" t="s">
        <v>35</v>
      </c>
      <c r="S17">
        <v>2015</v>
      </c>
      <c r="T17">
        <f t="shared" si="12"/>
        <v>0</v>
      </c>
      <c r="U17">
        <f t="shared" si="13"/>
        <v>0</v>
      </c>
    </row>
    <row r="18" spans="14:21">
      <c r="N18">
        <v>159619</v>
      </c>
      <c r="P18">
        <f>H7+P12+((H7/10)*Q15)</f>
        <v>2652798</v>
      </c>
      <c r="S18">
        <v>2016</v>
      </c>
      <c r="T18">
        <f t="shared" si="12"/>
        <v>0</v>
      </c>
      <c r="U18">
        <f t="shared" si="13"/>
        <v>0</v>
      </c>
    </row>
    <row r="20" spans="14:21">
      <c r="N20" s="1" t="s">
        <v>36</v>
      </c>
      <c r="P20" s="1" t="s">
        <v>37</v>
      </c>
    </row>
    <row r="21" spans="14:21">
      <c r="P21">
        <f>((I7+B7+P12-((H7/10)*P15))/P18)*10</f>
        <v>11.516904038679161</v>
      </c>
    </row>
    <row r="23" spans="14:21">
      <c r="N23" s="1" t="s">
        <v>38</v>
      </c>
      <c r="P23" s="1" t="s">
        <v>39</v>
      </c>
    </row>
    <row r="24" spans="14:21">
      <c r="N24">
        <f>N21/(I7+B7+N12-N15+N21+N18)*100</f>
        <v>0</v>
      </c>
      <c r="P24">
        <f>N27/(I7+B7+N12+P12-N15+N21+N27)*100</f>
        <v>42.457591051495719</v>
      </c>
    </row>
    <row r="26" spans="14:21">
      <c r="N26" s="1" t="s">
        <v>40</v>
      </c>
      <c r="P26" s="1" t="s">
        <v>41</v>
      </c>
    </row>
    <row r="27" spans="14:21">
      <c r="N27">
        <v>3545512</v>
      </c>
      <c r="P27">
        <f>(N27+N30)/(I7+B7+N12+P12-N15+N21+N27+N30)*100</f>
        <v>42.457591051495719</v>
      </c>
    </row>
    <row r="29" spans="14:21">
      <c r="N29" s="1" t="s">
        <v>42</v>
      </c>
    </row>
    <row r="31" spans="14:21">
      <c r="N31" s="1" t="s">
        <v>43</v>
      </c>
      <c r="P31" s="1" t="s">
        <v>44</v>
      </c>
    </row>
    <row r="32" spans="14:21">
      <c r="N32">
        <v>6250000</v>
      </c>
      <c r="P32">
        <v>8000000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31"/>
  <sheetViews>
    <sheetView tabSelected="1" zoomScale="85" zoomScaleNormal="85" workbookViewId="0">
      <selection activeCell="R9" sqref="R9"/>
    </sheetView>
  </sheetViews>
  <sheetFormatPr defaultRowHeight="16.5"/>
  <cols>
    <col min="1" max="1" width="6.125" customWidth="1"/>
    <col min="2" max="3" width="9.125" customWidth="1"/>
    <col min="6" max="6" width="12.625" customWidth="1"/>
    <col min="7" max="7" width="13" customWidth="1"/>
    <col min="8" max="8" width="8.8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1" t="s">
        <v>0</v>
      </c>
      <c r="B1" s="1" t="s">
        <v>1</v>
      </c>
      <c r="C1" s="1" t="s">
        <v>14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45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</row>
    <row r="2" spans="1:18">
      <c r="A2" s="2" t="s">
        <v>46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8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8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2" t="s">
        <v>21</v>
      </c>
      <c r="B3">
        <v>20086</v>
      </c>
      <c r="D3">
        <f t="shared" ref="D3:D8" si="2">D2+B3</f>
        <v>50069</v>
      </c>
      <c r="E3">
        <f t="shared" ref="E3:E6" si="3">E2+G2+M2</f>
        <v>20000</v>
      </c>
      <c r="F3">
        <f t="shared" ref="F3:F7" si="4">F2+B2+G2+H2-L2</f>
        <v>43983</v>
      </c>
      <c r="G3">
        <v>40000</v>
      </c>
      <c r="I3">
        <v>0</v>
      </c>
      <c r="J3">
        <f t="shared" si="0"/>
        <v>0</v>
      </c>
      <c r="K3">
        <f t="shared" ref="K3:K8" si="5">K2+B3-L3-M3</f>
        <v>44069</v>
      </c>
      <c r="L3">
        <v>0</v>
      </c>
      <c r="M3">
        <v>0</v>
      </c>
      <c r="N3">
        <f t="shared" ref="N3:N8" si="6">(B3/F3)*100</f>
        <v>45.667644317122523</v>
      </c>
      <c r="O3">
        <f t="shared" si="1"/>
        <v>45.667644317122523</v>
      </c>
      <c r="P3">
        <f t="shared" ref="P3:P8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2" t="s">
        <v>22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2" t="s">
        <v>23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2" t="s">
        <v>24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2" t="s">
        <v>25</v>
      </c>
      <c r="B7">
        <v>1892186</v>
      </c>
      <c r="C7">
        <v>313669</v>
      </c>
      <c r="D7">
        <f t="shared" si="2"/>
        <v>2289864</v>
      </c>
      <c r="E7">
        <f>E6+G6+M6</f>
        <v>1916500</v>
      </c>
      <c r="F7">
        <f t="shared" si="4"/>
        <v>2205678</v>
      </c>
      <c r="G7">
        <v>722500</v>
      </c>
      <c r="H7">
        <v>39000</v>
      </c>
      <c r="I7">
        <v>4042518</v>
      </c>
      <c r="J7">
        <f t="shared" si="0"/>
        <v>64.698962708596213</v>
      </c>
      <c r="K7">
        <f t="shared" si="5"/>
        <v>1637908</v>
      </c>
      <c r="L7">
        <v>122656</v>
      </c>
      <c r="M7">
        <v>383300</v>
      </c>
      <c r="N7">
        <f t="shared" si="6"/>
        <v>85.78704597860613</v>
      </c>
      <c r="O7">
        <f t="shared" si="1"/>
        <v>30.283717092101465</v>
      </c>
      <c r="P7">
        <f t="shared" si="7"/>
        <v>9.8731333159405175</v>
      </c>
      <c r="Q7">
        <f t="shared" si="8"/>
        <v>11.508885990086096</v>
      </c>
      <c r="R7">
        <f>((F7+B7-L7)/(E7))*10</f>
        <v>20.742019306026613</v>
      </c>
    </row>
    <row r="8" spans="1:18">
      <c r="A8" s="2" t="s">
        <v>26</v>
      </c>
      <c r="C8">
        <v>411500</v>
      </c>
      <c r="D8">
        <f t="shared" si="2"/>
        <v>2289864</v>
      </c>
      <c r="E8">
        <f>E7+G7+M7</f>
        <v>3022300</v>
      </c>
      <c r="F8">
        <f>F7+B7+G7+H7-L7</f>
        <v>4736708</v>
      </c>
      <c r="H8">
        <v>39000</v>
      </c>
      <c r="I8">
        <v>3974696</v>
      </c>
      <c r="J8">
        <f t="shared" si="0"/>
        <v>45.626353685353131</v>
      </c>
      <c r="K8">
        <f t="shared" si="5"/>
        <v>1637908</v>
      </c>
      <c r="L8">
        <v>0</v>
      </c>
      <c r="M8">
        <v>0</v>
      </c>
      <c r="N8">
        <f t="shared" si="6"/>
        <v>0</v>
      </c>
      <c r="O8">
        <f t="shared" si="1"/>
        <v>0</v>
      </c>
      <c r="P8">
        <f t="shared" si="7"/>
        <v>0</v>
      </c>
      <c r="Q8">
        <f>(F8/E8)*10</f>
        <v>15.672527545246997</v>
      </c>
      <c r="R8" s="3">
        <f>((F8+B8-L8+K13-K16)/(E8))*10</f>
        <v>13.421612679085463</v>
      </c>
    </row>
    <row r="9" spans="1:18">
      <c r="A9" s="2"/>
      <c r="R9" s="3"/>
    </row>
    <row r="10" spans="1:18">
      <c r="A10" s="2"/>
      <c r="R10" s="3"/>
    </row>
    <row r="12" spans="1:18">
      <c r="K12" s="1" t="s">
        <v>27</v>
      </c>
      <c r="M12" s="1" t="s">
        <v>28</v>
      </c>
      <c r="P12" s="1" t="s">
        <v>29</v>
      </c>
      <c r="Q12" s="1"/>
      <c r="R12" s="1"/>
    </row>
    <row r="13" spans="1:18">
      <c r="K13">
        <v>-680294</v>
      </c>
      <c r="M13">
        <v>700000</v>
      </c>
      <c r="P13" s="1" t="s">
        <v>0</v>
      </c>
      <c r="Q13" s="1" t="s">
        <v>30</v>
      </c>
      <c r="R13" s="1" t="s">
        <v>31</v>
      </c>
    </row>
    <row r="14" spans="1:18">
      <c r="P14">
        <v>2010</v>
      </c>
      <c r="Q14">
        <f t="shared" ref="Q14:Q20" si="10">L2/(E2/10)</f>
        <v>3</v>
      </c>
      <c r="R14">
        <f t="shared" ref="R14:R20" si="11">M2/(E2/10)</f>
        <v>0</v>
      </c>
    </row>
    <row r="15" spans="1:18">
      <c r="K15" s="1" t="s">
        <v>32</v>
      </c>
      <c r="M15" s="1" t="s">
        <v>33</v>
      </c>
      <c r="N15" s="1" t="s">
        <v>15</v>
      </c>
      <c r="P15">
        <v>2011</v>
      </c>
      <c r="Q15">
        <f t="shared" si="10"/>
        <v>0</v>
      </c>
      <c r="R15">
        <f t="shared" si="11"/>
        <v>0</v>
      </c>
    </row>
    <row r="16" spans="1:18">
      <c r="P16">
        <v>2012</v>
      </c>
      <c r="Q16">
        <f t="shared" si="10"/>
        <v>0</v>
      </c>
      <c r="R16">
        <f t="shared" si="11"/>
        <v>0</v>
      </c>
    </row>
    <row r="17" spans="11:18">
      <c r="P17">
        <v>2013</v>
      </c>
      <c r="Q17">
        <f t="shared" si="10"/>
        <v>0</v>
      </c>
      <c r="R17">
        <f t="shared" si="11"/>
        <v>0</v>
      </c>
    </row>
    <row r="18" spans="11:18">
      <c r="K18" s="1" t="s">
        <v>34</v>
      </c>
      <c r="M18" s="1" t="s">
        <v>35</v>
      </c>
      <c r="P18">
        <v>2014</v>
      </c>
      <c r="Q18">
        <f t="shared" si="10"/>
        <v>0</v>
      </c>
      <c r="R18">
        <f t="shared" si="11"/>
        <v>2</v>
      </c>
    </row>
    <row r="19" spans="11:18">
      <c r="M19">
        <f>E8+M13+((E8/10)*N16)</f>
        <v>3722300</v>
      </c>
      <c r="P19">
        <v>2015</v>
      </c>
      <c r="Q19">
        <f t="shared" si="10"/>
        <v>0.64</v>
      </c>
      <c r="R19">
        <f t="shared" si="11"/>
        <v>2</v>
      </c>
    </row>
    <row r="20" spans="11:18">
      <c r="P20">
        <v>2016</v>
      </c>
      <c r="Q20">
        <f t="shared" si="10"/>
        <v>0</v>
      </c>
      <c r="R20">
        <f t="shared" si="11"/>
        <v>0</v>
      </c>
    </row>
    <row r="21" spans="11:18">
      <c r="K21" s="1" t="s">
        <v>36</v>
      </c>
      <c r="M21" s="1" t="s">
        <v>37</v>
      </c>
    </row>
    <row r="22" spans="11:18">
      <c r="M22">
        <f>((F8+B8+M13-((E8/10)*M16))/M19)*10</f>
        <v>14.605775998710476</v>
      </c>
    </row>
    <row r="24" spans="11:18">
      <c r="K24" s="1" t="s">
        <v>38</v>
      </c>
      <c r="M24" s="1" t="s">
        <v>39</v>
      </c>
    </row>
    <row r="25" spans="11:18">
      <c r="K25">
        <f>K22/(F8+B8+K13-K16+K22+K19)*100</f>
        <v>0</v>
      </c>
      <c r="M25">
        <f>K28/(F8+B8+K13+M13-K16+K22+K28)*100</f>
        <v>40.333501177796464</v>
      </c>
    </row>
    <row r="27" spans="11:18">
      <c r="K27" s="1" t="s">
        <v>40</v>
      </c>
      <c r="M27" s="1" t="s">
        <v>41</v>
      </c>
    </row>
    <row r="28" spans="11:18">
      <c r="K28">
        <v>3215252</v>
      </c>
      <c r="M28">
        <f>(K28+K31)/(F8+B8+K13+M13-K16+K22+K28+K31)*100</f>
        <v>43.855033944917096</v>
      </c>
    </row>
    <row r="30" spans="11:18">
      <c r="K30" s="1" t="s">
        <v>42</v>
      </c>
    </row>
    <row r="31" spans="11:18">
      <c r="K31">
        <v>500000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合併報表</vt:lpstr>
      <vt:lpstr>達人351-15</vt:lpstr>
      <vt:lpstr>股票期貨外匯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DADA頭好壯壯</dc:creator>
  <cp:lastModifiedBy>DADA頭好壯壯</cp:lastModifiedBy>
  <dcterms:created xsi:type="dcterms:W3CDTF">2015-12-31T07:32:15Z</dcterms:created>
  <dcterms:modified xsi:type="dcterms:W3CDTF">2015-12-31T09:10:29Z</dcterms:modified>
</cp:coreProperties>
</file>