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6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drawings/drawing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9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10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1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drawings/drawing13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~我的投資\"/>
    </mc:Choice>
  </mc:AlternateContent>
  <bookViews>
    <workbookView xWindow="6510" yWindow="0" windowWidth="27870" windowHeight="14280" activeTab="2"/>
  </bookViews>
  <sheets>
    <sheet name="基本設定" sheetId="4" r:id="rId1"/>
    <sheet name="收盤價" sheetId="15" r:id="rId2"/>
    <sheet name="紅綠燈" sheetId="1" r:id="rId3"/>
    <sheet name="評比系統" sheetId="2" r:id="rId4"/>
    <sheet name="篩股系統" sheetId="5" r:id="rId5"/>
    <sheet name="財報PK" sheetId="7" r:id="rId6"/>
    <sheet name="營收搶先報" sheetId="13" r:id="rId7"/>
    <sheet name="PSR" sheetId="3" r:id="rId8"/>
    <sheet name="RPS" sheetId="17" r:id="rId9"/>
    <sheet name="葛林公式" sheetId="19" r:id="rId10"/>
    <sheet name="重訊追蹤" sheetId="16" r:id="rId11"/>
    <sheet name="篩穀結果" sheetId="6" r:id="rId12"/>
    <sheet name="季財報" sheetId="18" r:id="rId13"/>
    <sheet name="PK" sheetId="8" r:id="rId14"/>
    <sheet name="PKA" sheetId="9" r:id="rId15"/>
    <sheet name="PKB" sheetId="10" r:id="rId16"/>
    <sheet name="PKC" sheetId="11" r:id="rId17"/>
    <sheet name="福邦" sheetId="14" r:id="rId18"/>
  </sheets>
  <definedNames>
    <definedName name="_xlnm._FilterDatabase" localSheetId="7" hidden="1">PSR!$A$1:$K$1502</definedName>
    <definedName name="_xlnm._FilterDatabase" localSheetId="9" hidden="1">葛林公式!$A$1:$M$705</definedName>
    <definedName name="_xlnm._FilterDatabase" localSheetId="11" hidden="1">篩穀結果!$A$1:$AC$1544</definedName>
    <definedName name="_xlnm._FilterDatabase" localSheetId="6" hidden="1">營收搶先報!$A$1:$K$724</definedName>
    <definedName name="EE" localSheetId="2">紅綠燈!#REF!</definedName>
    <definedName name="外部資料_1" localSheetId="14">PKA!#REF!</definedName>
    <definedName name="外部資料_1" localSheetId="15">PKB!#REF!</definedName>
    <definedName name="外部資料_1" localSheetId="16">PKC!#REF!</definedName>
    <definedName name="外部資料_1" localSheetId="7">PSR!#REF!</definedName>
    <definedName name="外部資料_1" localSheetId="2">紅綠燈!#REF!</definedName>
    <definedName name="外部資料_1" localSheetId="3">評比系統!#REF!</definedName>
    <definedName name="外部資料_1" localSheetId="17">福邦!#REF!</definedName>
    <definedName name="外部資料_1" localSheetId="4">篩股系統!#REF!</definedName>
    <definedName name="外部資料_1" localSheetId="6">營收搶先報!#REF!</definedName>
    <definedName name="外部資料_10" localSheetId="14">PKA!#REF!</definedName>
    <definedName name="外部資料_10" localSheetId="15">PKB!#REF!</definedName>
    <definedName name="外部資料_10" localSheetId="16">PKC!#REF!</definedName>
    <definedName name="外部資料_10" localSheetId="7">PSR!#REF!</definedName>
    <definedName name="外部資料_10" localSheetId="2">紅綠燈!#REF!</definedName>
    <definedName name="外部資料_10" localSheetId="3">評比系統!#REF!</definedName>
    <definedName name="外部資料_10" localSheetId="17">福邦!#REF!</definedName>
    <definedName name="外部資料_10" localSheetId="4">篩股系統!#REF!</definedName>
    <definedName name="外部資料_10" localSheetId="6">營收搶先報!#REF!</definedName>
    <definedName name="外部資料_100" localSheetId="14">PKA!#REF!</definedName>
    <definedName name="外部資料_100" localSheetId="15">PKB!#REF!</definedName>
    <definedName name="外部資料_100" localSheetId="16">PKC!#REF!</definedName>
    <definedName name="外部資料_100" localSheetId="7">PSR!#REF!</definedName>
    <definedName name="外部資料_100" localSheetId="2">紅綠燈!#REF!</definedName>
    <definedName name="外部資料_100" localSheetId="3">評比系統!#REF!</definedName>
    <definedName name="外部資料_100" localSheetId="17">福邦!#REF!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4">PKA!#REF!</definedName>
    <definedName name="外部資料_101" localSheetId="15">PKB!#REF!</definedName>
    <definedName name="外部資料_101" localSheetId="16">PKC!#REF!</definedName>
    <definedName name="外部資料_101" localSheetId="7">PSR!#REF!</definedName>
    <definedName name="外部資料_101" localSheetId="2">紅綠燈!#REF!</definedName>
    <definedName name="外部資料_101" localSheetId="3">評比系統!$T$1:$T$33</definedName>
    <definedName name="外部資料_101" localSheetId="17">福邦!#REF!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4">PKA!#REF!</definedName>
    <definedName name="外部資料_102" localSheetId="15">PKB!#REF!</definedName>
    <definedName name="外部資料_102" localSheetId="16">PKC!#REF!</definedName>
    <definedName name="外部資料_102" localSheetId="7">PSR!#REF!</definedName>
    <definedName name="外部資料_102" localSheetId="2">紅綠燈!#REF!</definedName>
    <definedName name="外部資料_102" localSheetId="3">評比系統!$T$1:$T$33</definedName>
    <definedName name="外部資料_102" localSheetId="17">福邦!#REF!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4">PKA!#REF!</definedName>
    <definedName name="外部資料_103" localSheetId="15">PKB!#REF!</definedName>
    <definedName name="外部資料_103" localSheetId="16">PKC!#REF!</definedName>
    <definedName name="外部資料_103" localSheetId="7">PSR!#REF!</definedName>
    <definedName name="外部資料_103" localSheetId="2">紅綠燈!#REF!</definedName>
    <definedName name="外部資料_103" localSheetId="3">評比系統!$T$1:$T$33</definedName>
    <definedName name="外部資料_103" localSheetId="17">福邦!#REF!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4">PKA!#REF!</definedName>
    <definedName name="外部資料_104" localSheetId="15">PKB!#REF!</definedName>
    <definedName name="外部資料_104" localSheetId="16">PKC!#REF!</definedName>
    <definedName name="外部資料_104" localSheetId="7">PSR!#REF!</definedName>
    <definedName name="外部資料_104" localSheetId="2">紅綠燈!#REF!</definedName>
    <definedName name="外部資料_104" localSheetId="3">評比系統!$T$1:$T$33</definedName>
    <definedName name="外部資料_104" localSheetId="17">福邦!#REF!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4">PKA!#REF!</definedName>
    <definedName name="外部資料_105" localSheetId="15">PKB!#REF!</definedName>
    <definedName name="外部資料_105" localSheetId="16">PKC!#REF!</definedName>
    <definedName name="外部資料_105" localSheetId="7">PSR!#REF!</definedName>
    <definedName name="外部資料_105" localSheetId="2">紅綠燈!#REF!</definedName>
    <definedName name="外部資料_105" localSheetId="3">評比系統!$T$1:$T$33</definedName>
    <definedName name="外部資料_105" localSheetId="17">福邦!#REF!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4">PKA!#REF!</definedName>
    <definedName name="外部資料_106" localSheetId="15">PKB!#REF!</definedName>
    <definedName name="外部資料_106" localSheetId="16">PKC!#REF!</definedName>
    <definedName name="外部資料_106" localSheetId="7">PSR!#REF!</definedName>
    <definedName name="外部資料_106" localSheetId="2">紅綠燈!#REF!</definedName>
    <definedName name="外部資料_106" localSheetId="3">評比系統!$T$1:$T$33</definedName>
    <definedName name="外部資料_106" localSheetId="17">福邦!#REF!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4">PKA!#REF!</definedName>
    <definedName name="外部資料_107" localSheetId="15">PKB!#REF!</definedName>
    <definedName name="外部資料_107" localSheetId="16">PKC!#REF!</definedName>
    <definedName name="外部資料_107" localSheetId="7">PSR!#REF!</definedName>
    <definedName name="外部資料_107" localSheetId="3">評比系統!$T$1:$T$33</definedName>
    <definedName name="外部資料_107" localSheetId="17">福邦!#REF!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4">PKA!#REF!</definedName>
    <definedName name="外部資料_108" localSheetId="15">PKB!#REF!</definedName>
    <definedName name="外部資料_108" localSheetId="16">PKC!#REF!</definedName>
    <definedName name="外部資料_108" localSheetId="7">PSR!#REF!</definedName>
    <definedName name="外部資料_108" localSheetId="2">紅綠燈!#REF!</definedName>
    <definedName name="外部資料_108" localSheetId="3">評比系統!$T$1:$T$33</definedName>
    <definedName name="外部資料_108" localSheetId="17">福邦!#REF!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4">PKA!#REF!</definedName>
    <definedName name="外部資料_109" localSheetId="15">PKB!#REF!</definedName>
    <definedName name="外部資料_109" localSheetId="16">PKC!#REF!</definedName>
    <definedName name="外部資料_109" localSheetId="7">PSR!#REF!</definedName>
    <definedName name="外部資料_109" localSheetId="2">紅綠燈!#REF!</definedName>
    <definedName name="外部資料_109" localSheetId="3">評比系統!$T$1:$T$33</definedName>
    <definedName name="外部資料_109" localSheetId="17">福邦!#REF!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4">PKA!#REF!</definedName>
    <definedName name="外部資料_11" localSheetId="15">PKB!#REF!</definedName>
    <definedName name="外部資料_11" localSheetId="16">PKC!#REF!</definedName>
    <definedName name="外部資料_11" localSheetId="7">PSR!#REF!</definedName>
    <definedName name="外部資料_11" localSheetId="2">紅綠燈!#REF!</definedName>
    <definedName name="外部資料_11" localSheetId="3">評比系統!#REF!</definedName>
    <definedName name="外部資料_11" localSheetId="17">福邦!#REF!</definedName>
    <definedName name="外部資料_11" localSheetId="4">篩股系統!#REF!</definedName>
    <definedName name="外部資料_11" localSheetId="6">營收搶先報!#REF!</definedName>
    <definedName name="外部資料_110" localSheetId="14">PKA!#REF!</definedName>
    <definedName name="外部資料_110" localSheetId="15">PKB!#REF!</definedName>
    <definedName name="外部資料_110" localSheetId="16">PKC!#REF!</definedName>
    <definedName name="外部資料_110" localSheetId="7">PSR!#REF!</definedName>
    <definedName name="外部資料_110" localSheetId="2">紅綠燈!#REF!</definedName>
    <definedName name="外部資料_110" localSheetId="3">評比系統!$T$1:$T$33</definedName>
    <definedName name="外部資料_110" localSheetId="17">福邦!#REF!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4">PKA!#REF!</definedName>
    <definedName name="外部資料_111" localSheetId="15">PKB!#REF!</definedName>
    <definedName name="外部資料_111" localSheetId="16">PKC!#REF!</definedName>
    <definedName name="外部資料_111" localSheetId="7">PSR!#REF!</definedName>
    <definedName name="外部資料_111" localSheetId="3">評比系統!$T$1:$T$33</definedName>
    <definedName name="外部資料_111" localSheetId="17">福邦!#REF!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4">PKA!#REF!</definedName>
    <definedName name="外部資料_112" localSheetId="15">PKB!#REF!</definedName>
    <definedName name="外部資料_112" localSheetId="16">PKC!#REF!</definedName>
    <definedName name="外部資料_112" localSheetId="7">PSR!#REF!</definedName>
    <definedName name="外部資料_112" localSheetId="2">紅綠燈!#REF!</definedName>
    <definedName name="外部資料_112" localSheetId="3">評比系統!$T$1:$T$33</definedName>
    <definedName name="外部資料_112" localSheetId="17">福邦!#REF!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4">PKA!#REF!</definedName>
    <definedName name="外部資料_113" localSheetId="15">PKB!#REF!</definedName>
    <definedName name="外部資料_113" localSheetId="16">PKC!#REF!</definedName>
    <definedName name="外部資料_113" localSheetId="7">PSR!#REF!</definedName>
    <definedName name="外部資料_113" localSheetId="2">紅綠燈!#REF!</definedName>
    <definedName name="外部資料_113" localSheetId="3">評比系統!$T$1:$T$33</definedName>
    <definedName name="外部資料_113" localSheetId="17">福邦!#REF!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4">PKA!#REF!</definedName>
    <definedName name="外部資料_114" localSheetId="15">PKB!#REF!</definedName>
    <definedName name="外部資料_114" localSheetId="16">PKC!#REF!</definedName>
    <definedName name="外部資料_114" localSheetId="7">PSR!#REF!</definedName>
    <definedName name="外部資料_114" localSheetId="2">紅綠燈!#REF!</definedName>
    <definedName name="外部資料_114" localSheetId="3">評比系統!$T$1:$T$33</definedName>
    <definedName name="外部資料_114" localSheetId="17">福邦!#REF!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4">PKA!#REF!</definedName>
    <definedName name="外部資料_115" localSheetId="15">PKB!#REF!</definedName>
    <definedName name="外部資料_115" localSheetId="16">PKC!#REF!</definedName>
    <definedName name="外部資料_115" localSheetId="7">PSR!#REF!</definedName>
    <definedName name="外部資料_115" localSheetId="3">評比系統!$T$1:$T$33</definedName>
    <definedName name="外部資料_115" localSheetId="17">福邦!#REF!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4">PKA!#REF!</definedName>
    <definedName name="外部資料_116" localSheetId="15">PKB!#REF!</definedName>
    <definedName name="外部資料_116" localSheetId="16">PKC!#REF!</definedName>
    <definedName name="外部資料_116" localSheetId="7">PSR!#REF!</definedName>
    <definedName name="外部資料_116" localSheetId="2">紅綠燈!#REF!</definedName>
    <definedName name="外部資料_116" localSheetId="3">評比系統!$T$1:$T$33</definedName>
    <definedName name="外部資料_116" localSheetId="17">福邦!#REF!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4">PKA!#REF!</definedName>
    <definedName name="外部資料_117" localSheetId="15">PKB!#REF!</definedName>
    <definedName name="外部資料_117" localSheetId="16">PKC!#REF!</definedName>
    <definedName name="外部資料_117" localSheetId="7">PSR!#REF!</definedName>
    <definedName name="外部資料_117" localSheetId="2">紅綠燈!#REF!</definedName>
    <definedName name="外部資料_117" localSheetId="3">評比系統!$T$1:$T$33</definedName>
    <definedName name="外部資料_117" localSheetId="17">福邦!#REF!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4">PKA!#REF!</definedName>
    <definedName name="外部資料_118" localSheetId="15">PKB!#REF!</definedName>
    <definedName name="外部資料_118" localSheetId="16">PKC!#REF!</definedName>
    <definedName name="外部資料_118" localSheetId="7">PSR!#REF!</definedName>
    <definedName name="外部資料_118" localSheetId="2">紅綠燈!#REF!</definedName>
    <definedName name="外部資料_118" localSheetId="3">評比系統!$T$1:$T$33</definedName>
    <definedName name="外部資料_118" localSheetId="17">福邦!#REF!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4">PKA!#REF!</definedName>
    <definedName name="外部資料_119" localSheetId="15">PKB!#REF!</definedName>
    <definedName name="外部資料_119" localSheetId="16">PKC!#REF!</definedName>
    <definedName name="外部資料_119" localSheetId="7">PSR!#REF!</definedName>
    <definedName name="外部資料_119" localSheetId="2">紅綠燈!#REF!</definedName>
    <definedName name="外部資料_119" localSheetId="3">評比系統!$T$1:$T$33</definedName>
    <definedName name="外部資料_119" localSheetId="17">福邦!#REF!</definedName>
    <definedName name="外部資料_119" localSheetId="4">篩股系統!#REF!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4">PKA!#REF!</definedName>
    <definedName name="外部資料_12" localSheetId="15">PKB!#REF!</definedName>
    <definedName name="外部資料_12" localSheetId="16">PKC!#REF!</definedName>
    <definedName name="外部資料_12" localSheetId="7">PSR!#REF!</definedName>
    <definedName name="外部資料_12" localSheetId="2">紅綠燈!#REF!</definedName>
    <definedName name="外部資料_12" localSheetId="3">評比系統!#REF!</definedName>
    <definedName name="外部資料_12" localSheetId="17">福邦!#REF!</definedName>
    <definedName name="外部資料_12" localSheetId="4">篩股系統!#REF!</definedName>
    <definedName name="外部資料_12" localSheetId="6">營收搶先報!#REF!</definedName>
    <definedName name="外部資料_120" localSheetId="14">PKA!#REF!</definedName>
    <definedName name="外部資料_120" localSheetId="15">PKB!#REF!</definedName>
    <definedName name="外部資料_120" localSheetId="16">PKC!#REF!</definedName>
    <definedName name="外部資料_120" localSheetId="7">PSR!#REF!</definedName>
    <definedName name="外部資料_120" localSheetId="2">紅綠燈!#REF!</definedName>
    <definedName name="外部資料_120" localSheetId="3">評比系統!$T$1:$T$33</definedName>
    <definedName name="外部資料_120" localSheetId="17">福邦!#REF!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4">PKA!#REF!</definedName>
    <definedName name="外部資料_121" localSheetId="15">PKB!#REF!</definedName>
    <definedName name="外部資料_121" localSheetId="16">PKC!#REF!</definedName>
    <definedName name="外部資料_121" localSheetId="7">PSR!#REF!</definedName>
    <definedName name="外部資料_121" localSheetId="2">紅綠燈!#REF!</definedName>
    <definedName name="外部資料_121" localSheetId="3">評比系統!$T$1:$T$33</definedName>
    <definedName name="外部資料_121" localSheetId="17">福邦!#REF!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4">PKA!#REF!</definedName>
    <definedName name="外部資料_122" localSheetId="15">PKB!#REF!</definedName>
    <definedName name="外部資料_122" localSheetId="16">PKC!#REF!</definedName>
    <definedName name="外部資料_122" localSheetId="7">PSR!#REF!</definedName>
    <definedName name="外部資料_122" localSheetId="2">紅綠燈!#REF!</definedName>
    <definedName name="外部資料_122" localSheetId="3">評比系統!$T$1:$T$33</definedName>
    <definedName name="外部資料_122" localSheetId="17">福邦!#REF!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4">PKA!#REF!</definedName>
    <definedName name="外部資料_123" localSheetId="15">PKB!#REF!</definedName>
    <definedName name="外部資料_123" localSheetId="16">PKC!#REF!</definedName>
    <definedName name="外部資料_123" localSheetId="7">PSR!#REF!</definedName>
    <definedName name="外部資料_123" localSheetId="2">紅綠燈!#REF!</definedName>
    <definedName name="外部資料_123" localSheetId="3">評比系統!$T$1:$T$33</definedName>
    <definedName name="外部資料_123" localSheetId="17">福邦!#REF!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4">PKA!#REF!</definedName>
    <definedName name="外部資料_124" localSheetId="15">PKB!#REF!</definedName>
    <definedName name="外部資料_124" localSheetId="16">PKC!#REF!</definedName>
    <definedName name="外部資料_124" localSheetId="7">PSR!#REF!</definedName>
    <definedName name="外部資料_124" localSheetId="2">紅綠燈!#REF!</definedName>
    <definedName name="外部資料_124" localSheetId="3">評比系統!$T$1:$T$33</definedName>
    <definedName name="外部資料_124" localSheetId="17">福邦!#REF!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4">PKA!#REF!</definedName>
    <definedName name="外部資料_125" localSheetId="15">PKB!#REF!</definedName>
    <definedName name="外部資料_125" localSheetId="16">PKC!#REF!</definedName>
    <definedName name="外部資料_125" localSheetId="7">PSR!#REF!</definedName>
    <definedName name="外部資料_125" localSheetId="3">評比系統!$T$1:$T$33</definedName>
    <definedName name="外部資料_125" localSheetId="17">福邦!#REF!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4">PKA!#REF!</definedName>
    <definedName name="外部資料_126" localSheetId="15">PKB!#REF!</definedName>
    <definedName name="外部資料_126" localSheetId="16">PKC!#REF!</definedName>
    <definedName name="外部資料_126" localSheetId="7">PSR!#REF!</definedName>
    <definedName name="外部資料_126" localSheetId="2">紅綠燈!#REF!</definedName>
    <definedName name="外部資料_126" localSheetId="3">評比系統!$T$1:$T$33</definedName>
    <definedName name="外部資料_126" localSheetId="17">福邦!#REF!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4">PKA!#REF!</definedName>
    <definedName name="外部資料_127" localSheetId="15">PKB!#REF!</definedName>
    <definedName name="外部資料_127" localSheetId="16">PKC!#REF!</definedName>
    <definedName name="外部資料_127" localSheetId="7">PSR!#REF!</definedName>
    <definedName name="外部資料_127" localSheetId="2">紅綠燈!#REF!</definedName>
    <definedName name="外部資料_127" localSheetId="3">評比系統!$T$1:$T$33</definedName>
    <definedName name="外部資料_127" localSheetId="17">福邦!#REF!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4">PKA!#REF!</definedName>
    <definedName name="外部資料_128" localSheetId="15">PKB!#REF!</definedName>
    <definedName name="外部資料_128" localSheetId="16">PKC!#REF!</definedName>
    <definedName name="外部資料_128" localSheetId="7">PSR!#REF!</definedName>
    <definedName name="外部資料_128" localSheetId="2">紅綠燈!#REF!</definedName>
    <definedName name="外部資料_128" localSheetId="3">評比系統!$T$1:$T$33</definedName>
    <definedName name="外部資料_128" localSheetId="17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4">PKA!#REF!</definedName>
    <definedName name="外部資料_129" localSheetId="15">PKB!#REF!</definedName>
    <definedName name="外部資料_129" localSheetId="16">PKC!#REF!</definedName>
    <definedName name="外部資料_129" localSheetId="7">PSR!#REF!</definedName>
    <definedName name="外部資料_129" localSheetId="2">紅綠燈!#REF!</definedName>
    <definedName name="外部資料_129" localSheetId="3">評比系統!$T$1:$T$33</definedName>
    <definedName name="外部資料_129" localSheetId="17">福邦!#REF!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4">PKA!#REF!</definedName>
    <definedName name="外部資料_13" localSheetId="15">PKB!#REF!</definedName>
    <definedName name="外部資料_13" localSheetId="16">PKC!#REF!</definedName>
    <definedName name="外部資料_13" localSheetId="7">PSR!#REF!</definedName>
    <definedName name="外部資料_13" localSheetId="2">紅綠燈!#REF!</definedName>
    <definedName name="外部資料_13" localSheetId="3">評比系統!#REF!</definedName>
    <definedName name="外部資料_13" localSheetId="17">福邦!#REF!</definedName>
    <definedName name="外部資料_13" localSheetId="4">篩股系統!#REF!</definedName>
    <definedName name="外部資料_13" localSheetId="6">營收搶先報!#REF!</definedName>
    <definedName name="外部資料_130" localSheetId="14">PKA!#REF!</definedName>
    <definedName name="外部資料_130" localSheetId="15">PKB!#REF!</definedName>
    <definedName name="外部資料_130" localSheetId="16">PKC!#REF!</definedName>
    <definedName name="外部資料_130" localSheetId="7">PSR!#REF!</definedName>
    <definedName name="外部資料_130" localSheetId="2">紅綠燈!#REF!</definedName>
    <definedName name="外部資料_130" localSheetId="3">評比系統!$T$1:$T$33</definedName>
    <definedName name="外部資料_130" localSheetId="17">福邦!#REF!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4">PKA!#REF!</definedName>
    <definedName name="外部資料_131" localSheetId="15">PKB!#REF!</definedName>
    <definedName name="外部資料_131" localSheetId="16">PKC!#REF!</definedName>
    <definedName name="外部資料_131" localSheetId="7">PSR!#REF!</definedName>
    <definedName name="外部資料_131" localSheetId="2">紅綠燈!#REF!</definedName>
    <definedName name="外部資料_131" localSheetId="3">評比系統!$T$1:$T$33</definedName>
    <definedName name="外部資料_131" localSheetId="17">福邦!#REF!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4">PKA!#REF!</definedName>
    <definedName name="外部資料_132" localSheetId="15">PKB!#REF!</definedName>
    <definedName name="外部資料_132" localSheetId="16">PKC!#REF!</definedName>
    <definedName name="外部資料_132" localSheetId="7">PSR!#REF!</definedName>
    <definedName name="外部資料_132" localSheetId="2">紅綠燈!#REF!</definedName>
    <definedName name="外部資料_132" localSheetId="3">評比系統!$T$1:$T$33</definedName>
    <definedName name="外部資料_132" localSheetId="17">福邦!#REF!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4">PKA!#REF!</definedName>
    <definedName name="外部資料_133" localSheetId="15">PKB!#REF!</definedName>
    <definedName name="外部資料_133" localSheetId="16">PKC!#REF!</definedName>
    <definedName name="外部資料_133" localSheetId="7">PSR!#REF!</definedName>
    <definedName name="外部資料_133" localSheetId="3">評比系統!$T$1:$T$33</definedName>
    <definedName name="外部資料_133" localSheetId="17">福邦!#REF!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4">PKA!#REF!</definedName>
    <definedName name="外部資料_134" localSheetId="15">PKB!#REF!</definedName>
    <definedName name="外部資料_134" localSheetId="16">PKC!#REF!</definedName>
    <definedName name="外部資料_134" localSheetId="7">PSR!#REF!</definedName>
    <definedName name="外部資料_134" localSheetId="2">紅綠燈!#REF!</definedName>
    <definedName name="外部資料_134" localSheetId="3">評比系統!$T$1:$T$33</definedName>
    <definedName name="外部資料_134" localSheetId="17">福邦!#REF!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4">PKA!#REF!</definedName>
    <definedName name="外部資料_135" localSheetId="15">PKB!#REF!</definedName>
    <definedName name="外部資料_135" localSheetId="16">PKC!#REF!</definedName>
    <definedName name="外部資料_135" localSheetId="7">PSR!#REF!</definedName>
    <definedName name="外部資料_135" localSheetId="2">紅綠燈!#REF!</definedName>
    <definedName name="外部資料_135" localSheetId="3">評比系統!$T$1:$T$33</definedName>
    <definedName name="外部資料_135" localSheetId="17">福邦!#REF!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4">PKA!#REF!</definedName>
    <definedName name="外部資料_136" localSheetId="15">PKB!#REF!</definedName>
    <definedName name="外部資料_136" localSheetId="16">PKC!#REF!</definedName>
    <definedName name="外部資料_136" localSheetId="7">PSR!#REF!</definedName>
    <definedName name="外部資料_136" localSheetId="2">紅綠燈!#REF!</definedName>
    <definedName name="外部資料_136" localSheetId="3">評比系統!$T$1:$T$33</definedName>
    <definedName name="外部資料_136" localSheetId="17">福邦!#REF!</definedName>
    <definedName name="外部資料_1360" localSheetId="2">紅綠燈!#REF!</definedName>
    <definedName name="外部資料_1360" localSheetId="4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4">PKA!#REF!</definedName>
    <definedName name="外部資料_137" localSheetId="15">PKB!#REF!</definedName>
    <definedName name="外部資料_137" localSheetId="16">PKC!#REF!</definedName>
    <definedName name="外部資料_137" localSheetId="7">PSR!#REF!</definedName>
    <definedName name="外部資料_137" localSheetId="3">評比系統!$T$1:$T$33</definedName>
    <definedName name="外部資料_137" localSheetId="17">福邦!#REF!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4">PKA!#REF!</definedName>
    <definedName name="外部資料_138" localSheetId="15">PKB!#REF!</definedName>
    <definedName name="外部資料_138" localSheetId="16">PKC!#REF!</definedName>
    <definedName name="外部資料_138" localSheetId="7">PSR!#REF!</definedName>
    <definedName name="外部資料_138" localSheetId="2">紅綠燈!#REF!</definedName>
    <definedName name="外部資料_138" localSheetId="3">評比系統!$T$1:$T$33</definedName>
    <definedName name="外部資料_138" localSheetId="17">福邦!#REF!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4">PKA!#REF!</definedName>
    <definedName name="外部資料_139" localSheetId="15">PKB!#REF!</definedName>
    <definedName name="外部資料_139" localSheetId="16">PKC!#REF!</definedName>
    <definedName name="外部資料_139" localSheetId="7">PSR!#REF!</definedName>
    <definedName name="外部資料_139" localSheetId="2">紅綠燈!#REF!</definedName>
    <definedName name="外部資料_139" localSheetId="3">評比系統!$T$1:$T$33</definedName>
    <definedName name="外部資料_139" localSheetId="17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4">PKA!#REF!</definedName>
    <definedName name="外部資料_14" localSheetId="15">PKB!#REF!</definedName>
    <definedName name="外部資料_14" localSheetId="16">PKC!#REF!</definedName>
    <definedName name="外部資料_14" localSheetId="7">PSR!#REF!</definedName>
    <definedName name="外部資料_14" localSheetId="2">紅綠燈!#REF!</definedName>
    <definedName name="外部資料_14" localSheetId="3">評比系統!#REF!</definedName>
    <definedName name="外部資料_14" localSheetId="17">福邦!#REF!</definedName>
    <definedName name="外部資料_14" localSheetId="4">篩股系統!#REF!</definedName>
    <definedName name="外部資料_14" localSheetId="6">營收搶先報!#REF!</definedName>
    <definedName name="外部資料_140" localSheetId="14">PKA!#REF!</definedName>
    <definedName name="外部資料_140" localSheetId="15">PKB!#REF!</definedName>
    <definedName name="外部資料_140" localSheetId="16">PKC!#REF!</definedName>
    <definedName name="外部資料_140" localSheetId="7">PSR!#REF!</definedName>
    <definedName name="外部資料_140" localSheetId="3">評比系統!$T$1:$T$33</definedName>
    <definedName name="外部資料_140" localSheetId="17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4">PKA!#REF!</definedName>
    <definedName name="外部資料_141" localSheetId="15">PKB!#REF!</definedName>
    <definedName name="外部資料_141" localSheetId="16">PKC!#REF!</definedName>
    <definedName name="外部資料_141" localSheetId="7">PSR!#REF!</definedName>
    <definedName name="外部資料_141" localSheetId="2">紅綠燈!#REF!</definedName>
    <definedName name="外部資料_141" localSheetId="3">評比系統!$T$1:$T$33</definedName>
    <definedName name="外部資料_141" localSheetId="17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4">PKA!#REF!</definedName>
    <definedName name="外部資料_142" localSheetId="15">PKB!#REF!</definedName>
    <definedName name="外部資料_142" localSheetId="16">PKC!#REF!</definedName>
    <definedName name="外部資料_142" localSheetId="7">PSR!#REF!</definedName>
    <definedName name="外部資料_142" localSheetId="2">紅綠燈!#REF!</definedName>
    <definedName name="外部資料_142" localSheetId="3">評比系統!$T$1:$T$33</definedName>
    <definedName name="外部資料_142" localSheetId="17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4">PKA!#REF!</definedName>
    <definedName name="外部資料_143" localSheetId="15">PKB!#REF!</definedName>
    <definedName name="外部資料_143" localSheetId="16">PKC!#REF!</definedName>
    <definedName name="外部資料_143" localSheetId="7">PSR!#REF!</definedName>
    <definedName name="外部資料_143" localSheetId="2">紅綠燈!#REF!</definedName>
    <definedName name="外部資料_143" localSheetId="3">評比系統!$T$1:$T$33</definedName>
    <definedName name="外部資料_143" localSheetId="17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4">PKA!#REF!</definedName>
    <definedName name="外部資料_144" localSheetId="15">PKB!#REF!</definedName>
    <definedName name="外部資料_144" localSheetId="16">PKC!#REF!</definedName>
    <definedName name="外部資料_144" localSheetId="7">PSR!#REF!</definedName>
    <definedName name="外部資料_144" localSheetId="3">評比系統!$T$1:$T$33</definedName>
    <definedName name="外部資料_144" localSheetId="17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4">PKA!#REF!</definedName>
    <definedName name="外部資料_145" localSheetId="15">PKB!#REF!</definedName>
    <definedName name="外部資料_145" localSheetId="16">PKC!#REF!</definedName>
    <definedName name="外部資料_145" localSheetId="7">PSR!#REF!</definedName>
    <definedName name="外部資料_145" localSheetId="2">紅綠燈!#REF!</definedName>
    <definedName name="外部資料_145" localSheetId="3">評比系統!$T$1:$T$33</definedName>
    <definedName name="外部資料_145" localSheetId="17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4">PKA!#REF!</definedName>
    <definedName name="外部資料_146" localSheetId="15">PKB!#REF!</definedName>
    <definedName name="外部資料_146" localSheetId="16">PKC!#REF!</definedName>
    <definedName name="外部資料_146" localSheetId="7">PSR!#REF!</definedName>
    <definedName name="外部資料_146" localSheetId="2">紅綠燈!#REF!</definedName>
    <definedName name="外部資料_146" localSheetId="3">評比系統!$T$1:$T$33</definedName>
    <definedName name="外部資料_146" localSheetId="17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4">PKA!#REF!</definedName>
    <definedName name="外部資料_147" localSheetId="15">PKB!#REF!</definedName>
    <definedName name="外部資料_147" localSheetId="16">PKC!#REF!</definedName>
    <definedName name="外部資料_147" localSheetId="7">PSR!#REF!</definedName>
    <definedName name="外部資料_147" localSheetId="2">紅綠燈!#REF!</definedName>
    <definedName name="外部資料_147" localSheetId="3">評比系統!$T$1:$T$33</definedName>
    <definedName name="外部資料_147" localSheetId="17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4">PKA!#REF!</definedName>
    <definedName name="外部資料_148" localSheetId="15">PKB!#REF!</definedName>
    <definedName name="外部資料_148" localSheetId="16">PKC!#REF!</definedName>
    <definedName name="外部資料_148" localSheetId="7">PSR!#REF!</definedName>
    <definedName name="外部資料_148" localSheetId="3">評比系統!$T$1:$T$33</definedName>
    <definedName name="外部資料_148" localSheetId="17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4">PKA!#REF!</definedName>
    <definedName name="外部資料_149" localSheetId="15">PKB!#REF!</definedName>
    <definedName name="外部資料_149" localSheetId="16">PKC!#REF!</definedName>
    <definedName name="外部資料_149" localSheetId="7">PSR!#REF!</definedName>
    <definedName name="外部資料_149" localSheetId="2">紅綠燈!#REF!</definedName>
    <definedName name="外部資料_149" localSheetId="3">評比系統!$T$1:$T$33</definedName>
    <definedName name="外部資料_149" localSheetId="17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4">PKA!#REF!</definedName>
    <definedName name="外部資料_15" localSheetId="15">PKB!#REF!</definedName>
    <definedName name="外部資料_15" localSheetId="16">PKC!#REF!</definedName>
    <definedName name="外部資料_15" localSheetId="7">PSR!#REF!</definedName>
    <definedName name="外部資料_15" localSheetId="3">評比系統!#REF!</definedName>
    <definedName name="外部資料_15" localSheetId="17">福邦!#REF!</definedName>
    <definedName name="外部資料_15" localSheetId="4">篩股系統!#REF!</definedName>
    <definedName name="外部資料_15" localSheetId="6">營收搶先報!#REF!</definedName>
    <definedName name="外部資料_150" localSheetId="14">PKA!#REF!</definedName>
    <definedName name="外部資料_150" localSheetId="15">PKB!#REF!</definedName>
    <definedName name="外部資料_150" localSheetId="16">PKC!#REF!</definedName>
    <definedName name="外部資料_150" localSheetId="7">PSR!#REF!</definedName>
    <definedName name="外部資料_150" localSheetId="2">紅綠燈!#REF!</definedName>
    <definedName name="外部資料_150" localSheetId="3">評比系統!$T$1:$T$33</definedName>
    <definedName name="外部資料_150" localSheetId="17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4">PKA!#REF!</definedName>
    <definedName name="外部資料_151" localSheetId="15">PKB!#REF!</definedName>
    <definedName name="外部資料_151" localSheetId="16">PKC!#REF!</definedName>
    <definedName name="外部資料_151" localSheetId="7">PSR!#REF!</definedName>
    <definedName name="外部資料_151" localSheetId="2">紅綠燈!#REF!</definedName>
    <definedName name="外部資料_151" localSheetId="17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4">PKA!#REF!</definedName>
    <definedName name="外部資料_152" localSheetId="15">PKB!#REF!</definedName>
    <definedName name="外部資料_152" localSheetId="16">PKC!#REF!</definedName>
    <definedName name="外部資料_152" localSheetId="7">PSR!#REF!</definedName>
    <definedName name="外部資料_152" localSheetId="17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4">PKA!#REF!</definedName>
    <definedName name="外部資料_153" localSheetId="15">PKB!#REF!</definedName>
    <definedName name="外部資料_153" localSheetId="16">PKC!#REF!</definedName>
    <definedName name="外部資料_153" localSheetId="7">PSR!#REF!</definedName>
    <definedName name="外部資料_153" localSheetId="2">紅綠燈!#REF!</definedName>
    <definedName name="外部資料_153" localSheetId="17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4">PKA!#REF!</definedName>
    <definedName name="外部資料_154" localSheetId="15">PKB!#REF!</definedName>
    <definedName name="外部資料_154" localSheetId="16">PKC!#REF!</definedName>
    <definedName name="外部資料_154" localSheetId="7">PSR!#REF!</definedName>
    <definedName name="外部資料_154" localSheetId="2">紅綠燈!#REF!</definedName>
    <definedName name="外部資料_154" localSheetId="17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4">PKA!#REF!</definedName>
    <definedName name="外部資料_155" localSheetId="15">PKB!#REF!</definedName>
    <definedName name="外部資料_155" localSheetId="16">PKC!#REF!</definedName>
    <definedName name="外部資料_155" localSheetId="7">PSR!#REF!</definedName>
    <definedName name="外部資料_155" localSheetId="2">紅綠燈!#REF!</definedName>
    <definedName name="外部資料_155" localSheetId="3">評比系統!#REF!</definedName>
    <definedName name="外部資料_155" localSheetId="17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4">PKA!#REF!</definedName>
    <definedName name="外部資料_156" localSheetId="15">PKB!#REF!</definedName>
    <definedName name="外部資料_156" localSheetId="16">PKC!#REF!</definedName>
    <definedName name="外部資料_156" localSheetId="7">PSR!#REF!</definedName>
    <definedName name="外部資料_156" localSheetId="17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4">PKA!#REF!</definedName>
    <definedName name="外部資料_157" localSheetId="15">PKB!#REF!</definedName>
    <definedName name="外部資料_157" localSheetId="16">PKC!#REF!</definedName>
    <definedName name="外部資料_157" localSheetId="7">PSR!#REF!</definedName>
    <definedName name="外部資料_157" localSheetId="2">紅綠燈!#REF!</definedName>
    <definedName name="外部資料_157" localSheetId="17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4">PKA!#REF!</definedName>
    <definedName name="外部資料_158" localSheetId="15">PKB!#REF!</definedName>
    <definedName name="外部資料_158" localSheetId="16">PKC!#REF!</definedName>
    <definedName name="外部資料_158" localSheetId="7">PSR!#REF!</definedName>
    <definedName name="外部資料_158" localSheetId="2">紅綠燈!#REF!</definedName>
    <definedName name="外部資料_158" localSheetId="17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4">PKA!#REF!</definedName>
    <definedName name="外部資料_159" localSheetId="15">PKB!#REF!</definedName>
    <definedName name="外部資料_159" localSheetId="16">PKC!#REF!</definedName>
    <definedName name="外部資料_159" localSheetId="7">PSR!#REF!</definedName>
    <definedName name="外部資料_159" localSheetId="2">紅綠燈!#REF!</definedName>
    <definedName name="外部資料_159" localSheetId="17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4">PKA!#REF!</definedName>
    <definedName name="外部資料_16" localSheetId="15">PKB!#REF!</definedName>
    <definedName name="外部資料_16" localSheetId="16">PKC!#REF!</definedName>
    <definedName name="外部資料_16" localSheetId="7">PSR!#REF!</definedName>
    <definedName name="外部資料_16" localSheetId="2">紅綠燈!#REF!</definedName>
    <definedName name="外部資料_16" localSheetId="3">評比系統!#REF!</definedName>
    <definedName name="外部資料_16" localSheetId="17">福邦!#REF!</definedName>
    <definedName name="外部資料_16" localSheetId="4">篩股系統!#REF!</definedName>
    <definedName name="外部資料_16" localSheetId="6">營收搶先報!#REF!</definedName>
    <definedName name="外部資料_160" localSheetId="14">PKA!#REF!</definedName>
    <definedName name="外部資料_160" localSheetId="15">PKB!#REF!</definedName>
    <definedName name="外部資料_160" localSheetId="16">PKC!#REF!</definedName>
    <definedName name="外部資料_160" localSheetId="7">PSR!#REF!</definedName>
    <definedName name="外部資料_160" localSheetId="17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4">PKA!#REF!</definedName>
    <definedName name="外部資料_161" localSheetId="15">PKB!#REF!</definedName>
    <definedName name="外部資料_161" localSheetId="16">PKC!#REF!</definedName>
    <definedName name="外部資料_161" localSheetId="7">PSR!#REF!</definedName>
    <definedName name="外部資料_161" localSheetId="2">紅綠燈!#REF!</definedName>
    <definedName name="外部資料_161" localSheetId="17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4">PKA!#REF!</definedName>
    <definedName name="外部資料_162" localSheetId="15">PKB!#REF!</definedName>
    <definedName name="外部資料_162" localSheetId="16">PKC!#REF!</definedName>
    <definedName name="外部資料_162" localSheetId="7">PSR!#REF!</definedName>
    <definedName name="外部資料_162" localSheetId="2">紅綠燈!#REF!</definedName>
    <definedName name="外部資料_162" localSheetId="17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4">PKA!#REF!</definedName>
    <definedName name="外部資料_163" localSheetId="15">PKB!#REF!</definedName>
    <definedName name="外部資料_163" localSheetId="16">PKC!#REF!</definedName>
    <definedName name="外部資料_163" localSheetId="7">PSR!#REF!</definedName>
    <definedName name="外部資料_163" localSheetId="2">紅綠燈!#REF!</definedName>
    <definedName name="外部資料_163" localSheetId="17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4">篩股系統!$C$8:$G$68</definedName>
    <definedName name="外部資料_1637" localSheetId="2">紅綠燈!#REF!</definedName>
    <definedName name="外部資料_1638" localSheetId="2">紅綠燈!#REF!</definedName>
    <definedName name="外部資料_164" localSheetId="14">PKA!#REF!</definedName>
    <definedName name="外部資料_164" localSheetId="15">PKB!#REF!</definedName>
    <definedName name="外部資料_164" localSheetId="16">PKC!#REF!</definedName>
    <definedName name="外部資料_164" localSheetId="7">PSR!#REF!</definedName>
    <definedName name="外部資料_164" localSheetId="17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4">PKA!#REF!</definedName>
    <definedName name="外部資料_165" localSheetId="15">PKB!#REF!</definedName>
    <definedName name="外部資料_165" localSheetId="16">PKC!#REF!</definedName>
    <definedName name="外部資料_165" localSheetId="7">PSR!#REF!</definedName>
    <definedName name="外部資料_165" localSheetId="2">紅綠燈!#REF!</definedName>
    <definedName name="外部資料_165" localSheetId="17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4">PKA!#REF!</definedName>
    <definedName name="外部資料_166" localSheetId="15">PKB!#REF!</definedName>
    <definedName name="外部資料_166" localSheetId="16">PKC!#REF!</definedName>
    <definedName name="外部資料_166" localSheetId="7">PSR!#REF!</definedName>
    <definedName name="外部資料_166" localSheetId="2">紅綠燈!#REF!</definedName>
    <definedName name="外部資料_166" localSheetId="17">福邦!#REF!</definedName>
    <definedName name="外部資料_1660" localSheetId="2">紅綠燈!#REF!</definedName>
    <definedName name="外部資料_1661" localSheetId="2">紅綠燈!#REF!</definedName>
    <definedName name="外部資料_1661" localSheetId="4">篩股系統!$C$8:$G$65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4">PKA!#REF!</definedName>
    <definedName name="外部資料_167" localSheetId="15">PKB!#REF!</definedName>
    <definedName name="外部資料_167" localSheetId="16">PKC!#REF!</definedName>
    <definedName name="外部資料_167" localSheetId="7">PSR!#REF!</definedName>
    <definedName name="外部資料_167" localSheetId="2">紅綠燈!#REF!</definedName>
    <definedName name="外部資料_167" localSheetId="17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4">PKA!#REF!</definedName>
    <definedName name="外部資料_168" localSheetId="15">PKB!#REF!</definedName>
    <definedName name="外部資料_168" localSheetId="16">PKC!#REF!</definedName>
    <definedName name="外部資料_168" localSheetId="7">PSR!#REF!</definedName>
    <definedName name="外部資料_168" localSheetId="17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4">PKA!#REF!</definedName>
    <definedName name="外部資料_169" localSheetId="15">PKB!#REF!</definedName>
    <definedName name="外部資料_169" localSheetId="16">PKC!#REF!</definedName>
    <definedName name="外部資料_169" localSheetId="7">PSR!#REF!</definedName>
    <definedName name="外部資料_169" localSheetId="2">紅綠燈!#REF!</definedName>
    <definedName name="外部資料_169" localSheetId="17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4">PKA!#REF!</definedName>
    <definedName name="外部資料_17" localSheetId="15">PKB!#REF!</definedName>
    <definedName name="外部資料_17" localSheetId="16">PKC!#REF!</definedName>
    <definedName name="外部資料_17" localSheetId="7">PSR!#REF!</definedName>
    <definedName name="外部資料_17" localSheetId="2">紅綠燈!#REF!</definedName>
    <definedName name="外部資料_17" localSheetId="3">評比系統!#REF!</definedName>
    <definedName name="外部資料_17" localSheetId="17">福邦!#REF!</definedName>
    <definedName name="外部資料_17" localSheetId="4">篩股系統!#REF!</definedName>
    <definedName name="外部資料_17" localSheetId="6">營收搶先報!#REF!</definedName>
    <definedName name="外部資料_170" localSheetId="14">PKA!#REF!</definedName>
    <definedName name="外部資料_170" localSheetId="15">PKB!#REF!</definedName>
    <definedName name="外部資料_170" localSheetId="16">PKC!#REF!</definedName>
    <definedName name="外部資料_170" localSheetId="7">PSR!#REF!</definedName>
    <definedName name="外部資料_170" localSheetId="2">紅綠燈!#REF!</definedName>
    <definedName name="外部資料_170" localSheetId="17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4">PKA!#REF!</definedName>
    <definedName name="外部資料_171" localSheetId="15">PKB!#REF!</definedName>
    <definedName name="外部資料_171" localSheetId="16">PKC!#REF!</definedName>
    <definedName name="外部資料_171" localSheetId="7">PSR!#REF!</definedName>
    <definedName name="外部資料_171" localSheetId="2">紅綠燈!#REF!</definedName>
    <definedName name="外部資料_171" localSheetId="17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4">PKA!#REF!</definedName>
    <definedName name="外部資料_172" localSheetId="15">PKB!#REF!</definedName>
    <definedName name="外部資料_172" localSheetId="16">PKC!#REF!</definedName>
    <definedName name="外部資料_172" localSheetId="7">PSR!#REF!</definedName>
    <definedName name="外部資料_172" localSheetId="17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4">PKA!#REF!</definedName>
    <definedName name="外部資料_173" localSheetId="15">PKB!#REF!</definedName>
    <definedName name="外部資料_173" localSheetId="16">PKC!#REF!</definedName>
    <definedName name="外部資料_173" localSheetId="7">PSR!#REF!</definedName>
    <definedName name="外部資料_173" localSheetId="2">紅綠燈!#REF!</definedName>
    <definedName name="外部資料_173" localSheetId="17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4">PKA!#REF!</definedName>
    <definedName name="外部資料_174" localSheetId="15">PKB!#REF!</definedName>
    <definedName name="外部資料_174" localSheetId="16">PKC!#REF!</definedName>
    <definedName name="外部資料_174" localSheetId="7">PSR!#REF!</definedName>
    <definedName name="外部資料_174" localSheetId="2">紅綠燈!#REF!</definedName>
    <definedName name="外部資料_174" localSheetId="17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4">PKA!#REF!</definedName>
    <definedName name="外部資料_175" localSheetId="15">PKB!#REF!</definedName>
    <definedName name="外部資料_175" localSheetId="16">PKC!#REF!</definedName>
    <definedName name="外部資料_175" localSheetId="7">PSR!#REF!</definedName>
    <definedName name="外部資料_175" localSheetId="2">紅綠燈!#REF!</definedName>
    <definedName name="外部資料_175" localSheetId="17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4">PKA!#REF!</definedName>
    <definedName name="外部資料_176" localSheetId="15">PKB!#REF!</definedName>
    <definedName name="外部資料_176" localSheetId="16">PKC!#REF!</definedName>
    <definedName name="外部資料_176" localSheetId="7">PSR!#REF!</definedName>
    <definedName name="外部資料_176" localSheetId="17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4">PKA!#REF!</definedName>
    <definedName name="外部資料_177" localSheetId="15">PKB!#REF!</definedName>
    <definedName name="外部資料_177" localSheetId="16">PKC!#REF!</definedName>
    <definedName name="外部資料_177" localSheetId="7">PSR!#REF!</definedName>
    <definedName name="外部資料_177" localSheetId="2">紅綠燈!#REF!</definedName>
    <definedName name="外部資料_177" localSheetId="17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4">PKA!#REF!</definedName>
    <definedName name="外部資料_178" localSheetId="15">PKB!#REF!</definedName>
    <definedName name="外部資料_178" localSheetId="16">PKC!#REF!</definedName>
    <definedName name="外部資料_178" localSheetId="7">PSR!#REF!</definedName>
    <definedName name="外部資料_178" localSheetId="2">紅綠燈!#REF!</definedName>
    <definedName name="外部資料_178" localSheetId="17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4">PKA!#REF!</definedName>
    <definedName name="外部資料_179" localSheetId="15">PKB!#REF!</definedName>
    <definedName name="外部資料_179" localSheetId="16">PKC!#REF!</definedName>
    <definedName name="外部資料_179" localSheetId="7">PSR!#REF!</definedName>
    <definedName name="外部資料_179" localSheetId="2">紅綠燈!#REF!</definedName>
    <definedName name="外部資料_179" localSheetId="17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4">PKA!#REF!</definedName>
    <definedName name="外部資料_18" localSheetId="15">PKB!#REF!</definedName>
    <definedName name="外部資料_18" localSheetId="16">PKC!#REF!</definedName>
    <definedName name="外部資料_18" localSheetId="7">PSR!#REF!</definedName>
    <definedName name="外部資料_18" localSheetId="2">紅綠燈!#REF!</definedName>
    <definedName name="外部資料_18" localSheetId="3">評比系統!#REF!</definedName>
    <definedName name="外部資料_18" localSheetId="17">福邦!#REF!</definedName>
    <definedName name="外部資料_18" localSheetId="4">篩股系統!#REF!</definedName>
    <definedName name="外部資料_18" localSheetId="6">營收搶先報!#REF!</definedName>
    <definedName name="外部資料_180" localSheetId="14">PKA!#REF!</definedName>
    <definedName name="外部資料_180" localSheetId="15">PKB!#REF!</definedName>
    <definedName name="外部資料_180" localSheetId="16">PKC!#REF!</definedName>
    <definedName name="外部資料_180" localSheetId="7">PSR!#REF!</definedName>
    <definedName name="外部資料_180" localSheetId="17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4">PKA!#REF!</definedName>
    <definedName name="外部資料_181" localSheetId="15">PKB!#REF!</definedName>
    <definedName name="外部資料_181" localSheetId="16">PKC!#REF!</definedName>
    <definedName name="外部資料_181" localSheetId="7">PSR!#REF!</definedName>
    <definedName name="外部資料_181" localSheetId="2">紅綠燈!#REF!</definedName>
    <definedName name="外部資料_181" localSheetId="17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4">PKA!#REF!</definedName>
    <definedName name="外部資料_182" localSheetId="15">PKB!#REF!</definedName>
    <definedName name="外部資料_182" localSheetId="16">PKC!#REF!</definedName>
    <definedName name="外部資料_182" localSheetId="7">PSR!#REF!</definedName>
    <definedName name="外部資料_182" localSheetId="2">紅綠燈!#REF!</definedName>
    <definedName name="外部資料_182" localSheetId="17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4">PKA!#REF!</definedName>
    <definedName name="外部資料_183" localSheetId="15">PKB!#REF!</definedName>
    <definedName name="外部資料_183" localSheetId="16">PKC!#REF!</definedName>
    <definedName name="外部資料_183" localSheetId="7">PSR!#REF!</definedName>
    <definedName name="外部資料_183" localSheetId="2">紅綠燈!#REF!</definedName>
    <definedName name="外部資料_183" localSheetId="17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4">PKA!#REF!</definedName>
    <definedName name="外部資料_184" localSheetId="15">PKB!#REF!</definedName>
    <definedName name="外部資料_184" localSheetId="16">PKC!#REF!</definedName>
    <definedName name="外部資料_184" localSheetId="7">PSR!#REF!</definedName>
    <definedName name="外部資料_184" localSheetId="17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4">PKA!#REF!</definedName>
    <definedName name="外部資料_185" localSheetId="15">PKB!#REF!</definedName>
    <definedName name="外部資料_185" localSheetId="16">PKC!#REF!</definedName>
    <definedName name="外部資料_185" localSheetId="7">PSR!#REF!</definedName>
    <definedName name="外部資料_185" localSheetId="2">紅綠燈!#REF!</definedName>
    <definedName name="外部資料_185" localSheetId="17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4">PKA!#REF!</definedName>
    <definedName name="外部資料_186" localSheetId="15">PKB!#REF!</definedName>
    <definedName name="外部資料_186" localSheetId="16">PKC!#REF!</definedName>
    <definedName name="外部資料_186" localSheetId="7">PSR!#REF!</definedName>
    <definedName name="外部資料_186" localSheetId="2">紅綠燈!#REF!</definedName>
    <definedName name="外部資料_186" localSheetId="17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4">PKA!#REF!</definedName>
    <definedName name="外部資料_187" localSheetId="15">PKB!#REF!</definedName>
    <definedName name="外部資料_187" localSheetId="16">PKC!#REF!</definedName>
    <definedName name="外部資料_187" localSheetId="7">PSR!#REF!</definedName>
    <definedName name="外部資料_187" localSheetId="2">紅綠燈!#REF!</definedName>
    <definedName name="外部資料_187" localSheetId="17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4">PKA!#REF!</definedName>
    <definedName name="外部資料_188" localSheetId="15">PKB!#REF!</definedName>
    <definedName name="外部資料_188" localSheetId="16">PKC!#REF!</definedName>
    <definedName name="外部資料_188" localSheetId="7">PSR!#REF!</definedName>
    <definedName name="外部資料_188" localSheetId="17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4">PKA!#REF!</definedName>
    <definedName name="外部資料_189" localSheetId="15">PKB!#REF!</definedName>
    <definedName name="外部資料_189" localSheetId="16">PKC!#REF!</definedName>
    <definedName name="外部資料_189" localSheetId="7">PSR!#REF!</definedName>
    <definedName name="外部資料_189" localSheetId="2">紅綠燈!#REF!</definedName>
    <definedName name="外部資料_189" localSheetId="17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4">PKA!#REF!</definedName>
    <definedName name="外部資料_19" localSheetId="15">PKB!#REF!</definedName>
    <definedName name="外部資料_19" localSheetId="16">PKC!#REF!</definedName>
    <definedName name="外部資料_19" localSheetId="7">PSR!#REF!</definedName>
    <definedName name="外部資料_19" localSheetId="2">紅綠燈!#REF!</definedName>
    <definedName name="外部資料_19" localSheetId="3">評比系統!#REF!</definedName>
    <definedName name="外部資料_19" localSheetId="17">福邦!#REF!</definedName>
    <definedName name="外部資料_19" localSheetId="4">篩股系統!#REF!</definedName>
    <definedName name="外部資料_19" localSheetId="6">營收搶先報!#REF!</definedName>
    <definedName name="外部資料_190" localSheetId="14">PKA!#REF!</definedName>
    <definedName name="外部資料_190" localSheetId="15">PKB!#REF!</definedName>
    <definedName name="外部資料_190" localSheetId="16">PKC!#REF!</definedName>
    <definedName name="外部資料_190" localSheetId="7">PSR!#REF!</definedName>
    <definedName name="外部資料_190" localSheetId="2">紅綠燈!#REF!</definedName>
    <definedName name="外部資料_190" localSheetId="17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4">PKA!#REF!</definedName>
    <definedName name="外部資料_191" localSheetId="15">PKB!#REF!</definedName>
    <definedName name="外部資料_191" localSheetId="16">PKC!#REF!</definedName>
    <definedName name="外部資料_191" localSheetId="7">PSR!#REF!</definedName>
    <definedName name="外部資料_191" localSheetId="2">紅綠燈!#REF!</definedName>
    <definedName name="外部資料_191" localSheetId="17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4">PKA!#REF!</definedName>
    <definedName name="外部資料_192" localSheetId="15">PKB!#REF!</definedName>
    <definedName name="外部資料_192" localSheetId="16">PKC!#REF!</definedName>
    <definedName name="外部資料_192" localSheetId="7">PSR!#REF!</definedName>
    <definedName name="外部資料_192" localSheetId="17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4">PKA!#REF!</definedName>
    <definedName name="外部資料_193" localSheetId="15">PKB!#REF!</definedName>
    <definedName name="外部資料_193" localSheetId="16">PKC!#REF!</definedName>
    <definedName name="外部資料_193" localSheetId="7">PSR!#REF!</definedName>
    <definedName name="外部資料_193" localSheetId="2">紅綠燈!#REF!</definedName>
    <definedName name="外部資料_193" localSheetId="17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4">PKA!#REF!</definedName>
    <definedName name="外部資料_194" localSheetId="15">PKB!#REF!</definedName>
    <definedName name="外部資料_194" localSheetId="16">PKC!#REF!</definedName>
    <definedName name="外部資料_194" localSheetId="7">PSR!#REF!</definedName>
    <definedName name="外部資料_194" localSheetId="2">紅綠燈!#REF!</definedName>
    <definedName name="外部資料_194" localSheetId="17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4">PKA!#REF!</definedName>
    <definedName name="外部資料_195" localSheetId="15">PKB!#REF!</definedName>
    <definedName name="外部資料_195" localSheetId="16">PKC!#REF!</definedName>
    <definedName name="外部資料_195" localSheetId="7">PSR!#REF!</definedName>
    <definedName name="外部資料_195" localSheetId="17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4">PKA!#REF!</definedName>
    <definedName name="外部資料_196" localSheetId="15">PKB!#REF!</definedName>
    <definedName name="外部資料_196" localSheetId="16">PKC!#REF!</definedName>
    <definedName name="外部資料_196" localSheetId="7">PSR!#REF!</definedName>
    <definedName name="外部資料_196" localSheetId="2">紅綠燈!#REF!</definedName>
    <definedName name="外部資料_196" localSheetId="17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4">PKA!#REF!</definedName>
    <definedName name="外部資料_197" localSheetId="15">PKB!#REF!</definedName>
    <definedName name="外部資料_197" localSheetId="16">PKC!#REF!</definedName>
    <definedName name="外部資料_197" localSheetId="7">PSR!#REF!</definedName>
    <definedName name="外部資料_197" localSheetId="2">紅綠燈!#REF!</definedName>
    <definedName name="外部資料_197" localSheetId="17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4">PKA!#REF!</definedName>
    <definedName name="外部資料_198" localSheetId="15">PKB!#REF!</definedName>
    <definedName name="外部資料_198" localSheetId="16">PKC!#REF!</definedName>
    <definedName name="外部資料_198" localSheetId="7">PSR!#REF!</definedName>
    <definedName name="外部資料_198" localSheetId="2">紅綠燈!#REF!</definedName>
    <definedName name="外部資料_198" localSheetId="17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4">PKA!#REF!</definedName>
    <definedName name="外部資料_199" localSheetId="15">PKB!#REF!</definedName>
    <definedName name="外部資料_199" localSheetId="16">PKC!#REF!</definedName>
    <definedName name="外部資料_199" localSheetId="7">PSR!#REF!</definedName>
    <definedName name="外部資料_199" localSheetId="17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4">PKA!#REF!</definedName>
    <definedName name="外部資料_2" localSheetId="15">PKB!#REF!</definedName>
    <definedName name="外部資料_2" localSheetId="16">PKC!#REF!</definedName>
    <definedName name="外部資料_2" localSheetId="7">PSR!#REF!</definedName>
    <definedName name="外部資料_2" localSheetId="2">紅綠燈!#REF!</definedName>
    <definedName name="外部資料_2" localSheetId="3">評比系統!#REF!</definedName>
    <definedName name="外部資料_2" localSheetId="17">福邦!#REF!</definedName>
    <definedName name="外部資料_2" localSheetId="4">篩股系統!#REF!</definedName>
    <definedName name="外部資料_2" localSheetId="6">營收搶先報!#REF!</definedName>
    <definedName name="外部資料_20" localSheetId="14">PKA!#REF!</definedName>
    <definedName name="外部資料_20" localSheetId="15">PKB!#REF!</definedName>
    <definedName name="外部資料_20" localSheetId="16">PKC!#REF!</definedName>
    <definedName name="外部資料_20" localSheetId="7">PSR!#REF!</definedName>
    <definedName name="外部資料_20" localSheetId="2">紅綠燈!#REF!</definedName>
    <definedName name="外部資料_20" localSheetId="3">評比系統!#REF!</definedName>
    <definedName name="外部資料_20" localSheetId="17">福邦!#REF!</definedName>
    <definedName name="外部資料_20" localSheetId="4">篩股系統!#REF!</definedName>
    <definedName name="外部資料_20" localSheetId="6">營收搶先報!#REF!</definedName>
    <definedName name="外部資料_200" localSheetId="14">PKA!#REF!</definedName>
    <definedName name="外部資料_200" localSheetId="15">PKB!#REF!</definedName>
    <definedName name="外部資料_200" localSheetId="16">PKC!#REF!</definedName>
    <definedName name="外部資料_200" localSheetId="7">PSR!#REF!</definedName>
    <definedName name="外部資料_200" localSheetId="2">紅綠燈!#REF!</definedName>
    <definedName name="外部資料_200" localSheetId="17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4">PKA!#REF!</definedName>
    <definedName name="外部資料_201" localSheetId="15">PKB!#REF!</definedName>
    <definedName name="外部資料_201" localSheetId="16">PKC!#REF!</definedName>
    <definedName name="外部資料_201" localSheetId="7">PSR!#REF!</definedName>
    <definedName name="外部資料_201" localSheetId="2">紅綠燈!#REF!</definedName>
    <definedName name="外部資料_201" localSheetId="17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4">PKA!#REF!</definedName>
    <definedName name="外部資料_202" localSheetId="15">PKB!#REF!</definedName>
    <definedName name="外部資料_202" localSheetId="16">PKC!#REF!</definedName>
    <definedName name="外部資料_202" localSheetId="7">PSR!#REF!</definedName>
    <definedName name="外部資料_202" localSheetId="2">紅綠燈!#REF!</definedName>
    <definedName name="外部資料_202" localSheetId="17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4">PKA!#REF!</definedName>
    <definedName name="外部資料_203" localSheetId="15">PKB!#REF!</definedName>
    <definedName name="外部資料_203" localSheetId="16">PKC!#REF!</definedName>
    <definedName name="外部資料_203" localSheetId="7">PSR!#REF!</definedName>
    <definedName name="外部資料_203" localSheetId="17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4">PKA!#REF!</definedName>
    <definedName name="外部資料_204" localSheetId="15">PKB!#REF!</definedName>
    <definedName name="外部資料_204" localSheetId="16">PKC!#REF!</definedName>
    <definedName name="外部資料_204" localSheetId="7">PSR!#REF!</definedName>
    <definedName name="外部資料_204" localSheetId="2">紅綠燈!#REF!</definedName>
    <definedName name="外部資料_204" localSheetId="17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4">PKA!#REF!</definedName>
    <definedName name="外部資料_205" localSheetId="15">PKB!#REF!</definedName>
    <definedName name="外部資料_205" localSheetId="16">PKC!#REF!</definedName>
    <definedName name="外部資料_205" localSheetId="7">PSR!#REF!</definedName>
    <definedName name="外部資料_205" localSheetId="2">紅綠燈!#REF!</definedName>
    <definedName name="外部資料_205" localSheetId="17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4">PKA!#REF!</definedName>
    <definedName name="外部資料_206" localSheetId="15">PKB!#REF!</definedName>
    <definedName name="外部資料_206" localSheetId="16">PKC!#REF!</definedName>
    <definedName name="外部資料_206" localSheetId="7">PSR!#REF!</definedName>
    <definedName name="外部資料_206" localSheetId="2">紅綠燈!#REF!</definedName>
    <definedName name="外部資料_206" localSheetId="17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4">PKA!#REF!</definedName>
    <definedName name="外部資料_207" localSheetId="15">PKB!#REF!</definedName>
    <definedName name="外部資料_207" localSheetId="16">PKC!#REF!</definedName>
    <definedName name="外部資料_207" localSheetId="7">PSR!#REF!</definedName>
    <definedName name="外部資料_207" localSheetId="17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4">PKA!#REF!</definedName>
    <definedName name="外部資料_208" localSheetId="15">PKB!#REF!</definedName>
    <definedName name="外部資料_208" localSheetId="16">PKC!#REF!</definedName>
    <definedName name="外部資料_208" localSheetId="7">PSR!#REF!</definedName>
    <definedName name="外部資料_208" localSheetId="2">紅綠燈!#REF!</definedName>
    <definedName name="外部資料_208" localSheetId="17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4">PKA!#REF!</definedName>
    <definedName name="外部資料_209" localSheetId="15">PKB!#REF!</definedName>
    <definedName name="外部資料_209" localSheetId="16">PKC!#REF!</definedName>
    <definedName name="外部資料_209" localSheetId="7">PSR!#REF!</definedName>
    <definedName name="外部資料_209" localSheetId="2">紅綠燈!#REF!</definedName>
    <definedName name="外部資料_209" localSheetId="17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4">PKA!#REF!</definedName>
    <definedName name="外部資料_21" localSheetId="15">PKB!#REF!</definedName>
    <definedName name="外部資料_21" localSheetId="16">PKC!#REF!</definedName>
    <definedName name="外部資料_21" localSheetId="7">PSR!#REF!</definedName>
    <definedName name="外部資料_21" localSheetId="2">紅綠燈!#REF!</definedName>
    <definedName name="外部資料_21" localSheetId="3">評比系統!#REF!</definedName>
    <definedName name="外部資料_21" localSheetId="17">福邦!#REF!</definedName>
    <definedName name="外部資料_21" localSheetId="4">篩股系統!#REF!</definedName>
    <definedName name="外部資料_21" localSheetId="6">營收搶先報!#REF!</definedName>
    <definedName name="外部資料_210" localSheetId="14">PKA!#REF!</definedName>
    <definedName name="外部資料_210" localSheetId="15">PKB!#REF!</definedName>
    <definedName name="外部資料_210" localSheetId="16">PKC!#REF!</definedName>
    <definedName name="外部資料_210" localSheetId="7">PSR!#REF!</definedName>
    <definedName name="外部資料_210" localSheetId="2">紅綠燈!#REF!</definedName>
    <definedName name="外部資料_210" localSheetId="17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4">PKA!#REF!</definedName>
    <definedName name="外部資料_211" localSheetId="15">PKB!#REF!</definedName>
    <definedName name="外部資料_211" localSheetId="16">PKC!#REF!</definedName>
    <definedName name="外部資料_211" localSheetId="7">PSR!#REF!</definedName>
    <definedName name="外部資料_211" localSheetId="17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4">PKA!#REF!</definedName>
    <definedName name="外部資料_212" localSheetId="15">PKB!#REF!</definedName>
    <definedName name="外部資料_212" localSheetId="16">PKC!#REF!</definedName>
    <definedName name="外部資料_212" localSheetId="7">PSR!#REF!</definedName>
    <definedName name="外部資料_212" localSheetId="2">紅綠燈!#REF!</definedName>
    <definedName name="外部資料_212" localSheetId="17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4">PKA!#REF!</definedName>
    <definedName name="外部資料_213" localSheetId="15">PKB!#REF!</definedName>
    <definedName name="外部資料_213" localSheetId="16">PKC!#REF!</definedName>
    <definedName name="外部資料_213" localSheetId="7">PSR!#REF!</definedName>
    <definedName name="外部資料_213" localSheetId="2">紅綠燈!#REF!</definedName>
    <definedName name="外部資料_213" localSheetId="17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4">PKA!#REF!</definedName>
    <definedName name="外部資料_214" localSheetId="15">PKB!#REF!</definedName>
    <definedName name="外部資料_214" localSheetId="16">PKC!#REF!</definedName>
    <definedName name="外部資料_214" localSheetId="7">PSR!#REF!</definedName>
    <definedName name="外部資料_214" localSheetId="2">紅綠燈!#REF!</definedName>
    <definedName name="外部資料_214" localSheetId="17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4">PKA!#REF!</definedName>
    <definedName name="外部資料_215" localSheetId="15">PKB!#REF!</definedName>
    <definedName name="外部資料_215" localSheetId="16">PKC!#REF!</definedName>
    <definedName name="外部資料_215" localSheetId="7">PSR!#REF!</definedName>
    <definedName name="外部資料_215" localSheetId="17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4">PKA!#REF!</definedName>
    <definedName name="外部資料_216" localSheetId="15">PKB!#REF!</definedName>
    <definedName name="外部資料_216" localSheetId="16">PKC!#REF!</definedName>
    <definedName name="外部資料_216" localSheetId="7">PSR!#REF!</definedName>
    <definedName name="外部資料_216" localSheetId="2">紅綠燈!#REF!</definedName>
    <definedName name="外部資料_216" localSheetId="17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4">PKA!#REF!</definedName>
    <definedName name="外部資料_217" localSheetId="15">PKB!#REF!</definedName>
    <definedName name="外部資料_217" localSheetId="16">PKC!#REF!</definedName>
    <definedName name="外部資料_217" localSheetId="7">PSR!#REF!</definedName>
    <definedName name="外部資料_217" localSheetId="2">紅綠燈!#REF!</definedName>
    <definedName name="外部資料_217" localSheetId="17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4">PKA!#REF!</definedName>
    <definedName name="外部資料_218" localSheetId="15">PKB!#REF!</definedName>
    <definedName name="外部資料_218" localSheetId="16">PKC!#REF!</definedName>
    <definedName name="外部資料_218" localSheetId="7">PSR!#REF!</definedName>
    <definedName name="外部資料_218" localSheetId="2">紅綠燈!#REF!</definedName>
    <definedName name="外部資料_218" localSheetId="17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4">篩股系統!$D$3:$H$63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4">PKA!#REF!</definedName>
    <definedName name="外部資料_219" localSheetId="15">PKB!#REF!</definedName>
    <definedName name="外部資料_219" localSheetId="16">PKC!#REF!</definedName>
    <definedName name="外部資料_219" localSheetId="7">PSR!#REF!</definedName>
    <definedName name="外部資料_219" localSheetId="17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4">PKA!#REF!</definedName>
    <definedName name="外部資料_22" localSheetId="15">PKB!#REF!</definedName>
    <definedName name="外部資料_22" localSheetId="16">PKC!#REF!</definedName>
    <definedName name="外部資料_22" localSheetId="7">PSR!#REF!</definedName>
    <definedName name="外部資料_22" localSheetId="2">紅綠燈!#REF!</definedName>
    <definedName name="外部資料_22" localSheetId="3">評比系統!#REF!</definedName>
    <definedName name="外部資料_22" localSheetId="17">福邦!#REF!</definedName>
    <definedName name="外部資料_22" localSheetId="4">篩股系統!#REF!</definedName>
    <definedName name="外部資料_22" localSheetId="6">營收搶先報!#REF!</definedName>
    <definedName name="外部資料_220" localSheetId="14">PKA!#REF!</definedName>
    <definedName name="外部資料_220" localSheetId="15">PKB!#REF!</definedName>
    <definedName name="外部資料_220" localSheetId="16">PKC!#REF!</definedName>
    <definedName name="外部資料_220" localSheetId="7">PSR!#REF!</definedName>
    <definedName name="外部資料_220" localSheetId="2">紅綠燈!#REF!</definedName>
    <definedName name="外部資料_220" localSheetId="17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4">PKA!#REF!</definedName>
    <definedName name="外部資料_221" localSheetId="15">PKB!#REF!</definedName>
    <definedName name="外部資料_221" localSheetId="16">PKC!#REF!</definedName>
    <definedName name="外部資料_221" localSheetId="7">PSR!#REF!</definedName>
    <definedName name="外部資料_221" localSheetId="2">紅綠燈!#REF!</definedName>
    <definedName name="外部資料_221" localSheetId="17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4">PKA!#REF!</definedName>
    <definedName name="外部資料_222" localSheetId="15">PKB!#REF!</definedName>
    <definedName name="外部資料_222" localSheetId="16">PKC!#REF!</definedName>
    <definedName name="外部資料_222" localSheetId="7">PSR!#REF!</definedName>
    <definedName name="外部資料_222" localSheetId="2">紅綠燈!#REF!</definedName>
    <definedName name="外部資料_222" localSheetId="17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4">PKA!#REF!</definedName>
    <definedName name="外部資料_223" localSheetId="15">PKB!#REF!</definedName>
    <definedName name="外部資料_223" localSheetId="16">PKC!#REF!</definedName>
    <definedName name="外部資料_223" localSheetId="7">PSR!#REF!</definedName>
    <definedName name="外部資料_223" localSheetId="17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4">PKA!#REF!</definedName>
    <definedName name="外部資料_224" localSheetId="15">PKB!#REF!</definedName>
    <definedName name="外部資料_224" localSheetId="16">PKC!#REF!</definedName>
    <definedName name="外部資料_224" localSheetId="7">PSR!#REF!</definedName>
    <definedName name="外部資料_224" localSheetId="2">紅綠燈!#REF!</definedName>
    <definedName name="外部資料_224" localSheetId="17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4">PKA!#REF!</definedName>
    <definedName name="外部資料_225" localSheetId="15">PKB!#REF!</definedName>
    <definedName name="外部資料_225" localSheetId="16">PKC!#REF!</definedName>
    <definedName name="外部資料_225" localSheetId="7">PSR!#REF!</definedName>
    <definedName name="外部資料_225" localSheetId="2">紅綠燈!#REF!</definedName>
    <definedName name="外部資料_225" localSheetId="17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4">PKA!#REF!</definedName>
    <definedName name="外部資料_226" localSheetId="15">PKB!#REF!</definedName>
    <definedName name="外部資料_226" localSheetId="16">PKC!#REF!</definedName>
    <definedName name="外部資料_226" localSheetId="7">PSR!#REF!</definedName>
    <definedName name="外部資料_226" localSheetId="2">紅綠燈!#REF!</definedName>
    <definedName name="外部資料_226" localSheetId="17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4">PKA!#REF!</definedName>
    <definedName name="外部資料_227" localSheetId="15">PKB!#REF!</definedName>
    <definedName name="外部資料_227" localSheetId="16">PKC!#REF!</definedName>
    <definedName name="外部資料_227" localSheetId="7">PSR!#REF!</definedName>
    <definedName name="外部資料_227" localSheetId="17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4">PKA!#REF!</definedName>
    <definedName name="外部資料_228" localSheetId="15">PKB!#REF!</definedName>
    <definedName name="外部資料_228" localSheetId="16">PKC!#REF!</definedName>
    <definedName name="外部資料_228" localSheetId="7">PSR!#REF!</definedName>
    <definedName name="外部資料_228" localSheetId="2">紅綠燈!#REF!</definedName>
    <definedName name="外部資料_228" localSheetId="17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4">PKA!#REF!</definedName>
    <definedName name="外部資料_229" localSheetId="15">PKB!#REF!</definedName>
    <definedName name="外部資料_229" localSheetId="16">PKC!#REF!</definedName>
    <definedName name="外部資料_229" localSheetId="7">PSR!#REF!</definedName>
    <definedName name="外部資料_229" localSheetId="2">紅綠燈!#REF!</definedName>
    <definedName name="外部資料_229" localSheetId="17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4">PKA!#REF!</definedName>
    <definedName name="外部資料_23" localSheetId="15">PKB!#REF!</definedName>
    <definedName name="外部資料_23" localSheetId="16">PKC!#REF!</definedName>
    <definedName name="外部資料_23" localSheetId="7">PSR!#REF!</definedName>
    <definedName name="外部資料_23" localSheetId="2">紅綠燈!#REF!</definedName>
    <definedName name="外部資料_23" localSheetId="3">評比系統!#REF!</definedName>
    <definedName name="外部資料_23" localSheetId="17">福邦!#REF!</definedName>
    <definedName name="外部資料_23" localSheetId="4">篩股系統!#REF!</definedName>
    <definedName name="外部資料_23" localSheetId="6">營收搶先報!#REF!</definedName>
    <definedName name="外部資料_230" localSheetId="14">PKA!#REF!</definedName>
    <definedName name="外部資料_230" localSheetId="15">PKB!#REF!</definedName>
    <definedName name="外部資料_230" localSheetId="16">PKC!#REF!</definedName>
    <definedName name="外部資料_230" localSheetId="7">PSR!#REF!</definedName>
    <definedName name="外部資料_230" localSheetId="2">紅綠燈!#REF!</definedName>
    <definedName name="外部資料_230" localSheetId="17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4">PKA!#REF!</definedName>
    <definedName name="外部資料_231" localSheetId="15">PKB!#REF!</definedName>
    <definedName name="外部資料_231" localSheetId="16">PKC!#REF!</definedName>
    <definedName name="外部資料_231" localSheetId="7">PSR!#REF!</definedName>
    <definedName name="外部資料_231" localSheetId="17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4">PKA!#REF!</definedName>
    <definedName name="外部資料_232" localSheetId="15">PKB!#REF!</definedName>
    <definedName name="外部資料_232" localSheetId="16">PKC!#REF!</definedName>
    <definedName name="外部資料_232" localSheetId="7">PSR!#REF!</definedName>
    <definedName name="外部資料_232" localSheetId="2">紅綠燈!#REF!</definedName>
    <definedName name="外部資料_232" localSheetId="17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4">PKA!#REF!</definedName>
    <definedName name="外部資料_233" localSheetId="15">PKB!#REF!</definedName>
    <definedName name="外部資料_233" localSheetId="16">PKC!#REF!</definedName>
    <definedName name="外部資料_233" localSheetId="7">PSR!#REF!</definedName>
    <definedName name="外部資料_233" localSheetId="2">紅綠燈!#REF!</definedName>
    <definedName name="外部資料_233" localSheetId="17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4">PKA!#REF!</definedName>
    <definedName name="外部資料_234" localSheetId="15">PKB!#REF!</definedName>
    <definedName name="外部資料_234" localSheetId="16">PKC!#REF!</definedName>
    <definedName name="外部資料_234" localSheetId="7">PSR!#REF!</definedName>
    <definedName name="外部資料_234" localSheetId="2">紅綠燈!#REF!</definedName>
    <definedName name="外部資料_234" localSheetId="17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4">PKA!#REF!</definedName>
    <definedName name="外部資料_235" localSheetId="15">PKB!#REF!</definedName>
    <definedName name="外部資料_235" localSheetId="16">PKC!#REF!</definedName>
    <definedName name="外部資料_235" localSheetId="7">PSR!#REF!</definedName>
    <definedName name="外部資料_235" localSheetId="17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4">PKA!#REF!</definedName>
    <definedName name="外部資料_236" localSheetId="15">PKB!#REF!</definedName>
    <definedName name="外部資料_236" localSheetId="16">PKC!#REF!</definedName>
    <definedName name="外部資料_236" localSheetId="7">PSR!#REF!</definedName>
    <definedName name="外部資料_236" localSheetId="2">紅綠燈!#REF!</definedName>
    <definedName name="外部資料_236" localSheetId="17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4">PKA!#REF!</definedName>
    <definedName name="外部資料_237" localSheetId="15">PKB!#REF!</definedName>
    <definedName name="外部資料_237" localSheetId="16">PKC!#REF!</definedName>
    <definedName name="外部資料_237" localSheetId="7">PSR!#REF!</definedName>
    <definedName name="外部資料_237" localSheetId="2">紅綠燈!#REF!</definedName>
    <definedName name="外部資料_237" localSheetId="17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4">PKA!#REF!</definedName>
    <definedName name="外部資料_238" localSheetId="15">PKB!#REF!</definedName>
    <definedName name="外部資料_238" localSheetId="16">PKC!#REF!</definedName>
    <definedName name="外部資料_238" localSheetId="7">PSR!#REF!</definedName>
    <definedName name="外部資料_238" localSheetId="2">紅綠燈!#REF!</definedName>
    <definedName name="外部資料_238" localSheetId="17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4">PKA!#REF!</definedName>
    <definedName name="外部資料_239" localSheetId="15">PKB!#REF!</definedName>
    <definedName name="外部資料_239" localSheetId="16">PKC!#REF!</definedName>
    <definedName name="外部資料_239" localSheetId="7">PSR!#REF!</definedName>
    <definedName name="外部資料_239" localSheetId="17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4">PKA!#REF!</definedName>
    <definedName name="外部資料_24" localSheetId="15">PKB!#REF!</definedName>
    <definedName name="外部資料_24" localSheetId="16">PKC!#REF!</definedName>
    <definedName name="外部資料_24" localSheetId="7">PSR!#REF!</definedName>
    <definedName name="外部資料_24" localSheetId="2">紅綠燈!#REF!</definedName>
    <definedName name="外部資料_24" localSheetId="3">評比系統!#REF!</definedName>
    <definedName name="外部資料_24" localSheetId="17">福邦!#REF!</definedName>
    <definedName name="外部資料_24" localSheetId="4">篩股系統!#REF!</definedName>
    <definedName name="外部資料_24" localSheetId="6">營收搶先報!#REF!</definedName>
    <definedName name="外部資料_240" localSheetId="14">PKA!#REF!</definedName>
    <definedName name="外部資料_240" localSheetId="15">PKB!#REF!</definedName>
    <definedName name="外部資料_240" localSheetId="16">PKC!#REF!</definedName>
    <definedName name="外部資料_240" localSheetId="7">PSR!#REF!</definedName>
    <definedName name="外部資料_240" localSheetId="2">紅綠燈!#REF!</definedName>
    <definedName name="外部資料_240" localSheetId="17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4">PKA!#REF!</definedName>
    <definedName name="外部資料_241" localSheetId="15">PKB!#REF!</definedName>
    <definedName name="外部資料_241" localSheetId="16">PKC!#REF!</definedName>
    <definedName name="外部資料_241" localSheetId="7">PSR!#REF!</definedName>
    <definedName name="外部資料_241" localSheetId="2">紅綠燈!#REF!</definedName>
    <definedName name="外部資料_241" localSheetId="17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4">PKA!#REF!</definedName>
    <definedName name="外部資料_242" localSheetId="15">PKB!#REF!</definedName>
    <definedName name="外部資料_242" localSheetId="16">PKC!#REF!</definedName>
    <definedName name="外部資料_242" localSheetId="7">PSR!#REF!</definedName>
    <definedName name="外部資料_242" localSheetId="2">紅綠燈!#REF!</definedName>
    <definedName name="外部資料_242" localSheetId="17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4">PKA!#REF!</definedName>
    <definedName name="外部資料_243" localSheetId="15">PKB!#REF!</definedName>
    <definedName name="外部資料_243" localSheetId="16">PKC!#REF!</definedName>
    <definedName name="外部資料_243" localSheetId="7">PSR!#REF!</definedName>
    <definedName name="外部資料_243" localSheetId="17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4">PKA!#REF!</definedName>
    <definedName name="外部資料_244" localSheetId="15">PKB!#REF!</definedName>
    <definedName name="外部資料_244" localSheetId="16">PKC!#REF!</definedName>
    <definedName name="外部資料_244" localSheetId="7">PSR!#REF!</definedName>
    <definedName name="外部資料_244" localSheetId="2">紅綠燈!#REF!</definedName>
    <definedName name="外部資料_244" localSheetId="17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4">PKA!#REF!</definedName>
    <definedName name="外部資料_245" localSheetId="15">PKB!#REF!</definedName>
    <definedName name="外部資料_245" localSheetId="16">PKC!#REF!</definedName>
    <definedName name="外部資料_245" localSheetId="7">PSR!#REF!</definedName>
    <definedName name="外部資料_245" localSheetId="2">紅綠燈!#REF!</definedName>
    <definedName name="外部資料_245" localSheetId="17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4">PKA!#REF!</definedName>
    <definedName name="外部資料_246" localSheetId="15">PKB!#REF!</definedName>
    <definedName name="外部資料_246" localSheetId="16">PKC!#REF!</definedName>
    <definedName name="外部資料_246" localSheetId="7">PSR!#REF!</definedName>
    <definedName name="外部資料_246" localSheetId="2">紅綠燈!#REF!</definedName>
    <definedName name="外部資料_246" localSheetId="17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4">PKA!#REF!</definedName>
    <definedName name="外部資料_247" localSheetId="15">PKB!#REF!</definedName>
    <definedName name="外部資料_247" localSheetId="16">PKC!#REF!</definedName>
    <definedName name="外部資料_247" localSheetId="7">PSR!#REF!</definedName>
    <definedName name="外部資料_247" localSheetId="17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4">PKA!#REF!</definedName>
    <definedName name="外部資料_248" localSheetId="15">PKB!#REF!</definedName>
    <definedName name="外部資料_248" localSheetId="16">PKC!#REF!</definedName>
    <definedName name="外部資料_248" localSheetId="7">PSR!#REF!</definedName>
    <definedName name="外部資料_248" localSheetId="2">紅綠燈!#REF!</definedName>
    <definedName name="外部資料_248" localSheetId="17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4">PKA!#REF!</definedName>
    <definedName name="外部資料_249" localSheetId="15">PKB!#REF!</definedName>
    <definedName name="外部資料_249" localSheetId="16">PKC!#REF!</definedName>
    <definedName name="外部資料_249" localSheetId="7">PSR!#REF!</definedName>
    <definedName name="外部資料_249" localSheetId="2">紅綠燈!#REF!</definedName>
    <definedName name="外部資料_249" localSheetId="17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4">PKA!#REF!</definedName>
    <definedName name="外部資料_25" localSheetId="15">PKB!#REF!</definedName>
    <definedName name="外部資料_25" localSheetId="16">PKC!#REF!</definedName>
    <definedName name="外部資料_25" localSheetId="7">PSR!#REF!</definedName>
    <definedName name="外部資料_25" localSheetId="2">紅綠燈!#REF!</definedName>
    <definedName name="外部資料_25" localSheetId="3">評比系統!#REF!</definedName>
    <definedName name="外部資料_25" localSheetId="17">福邦!#REF!</definedName>
    <definedName name="外部資料_25" localSheetId="4">篩股系統!#REF!</definedName>
    <definedName name="外部資料_25" localSheetId="6">營收搶先報!#REF!</definedName>
    <definedName name="外部資料_250" localSheetId="14">PKA!#REF!</definedName>
    <definedName name="外部資料_250" localSheetId="15">PKB!#REF!</definedName>
    <definedName name="外部資料_250" localSheetId="16">PKC!#REF!</definedName>
    <definedName name="外部資料_250" localSheetId="7">PSR!#REF!</definedName>
    <definedName name="外部資料_250" localSheetId="2">紅綠燈!#REF!</definedName>
    <definedName name="外部資料_250" localSheetId="17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4">PKA!#REF!</definedName>
    <definedName name="外部資料_251" localSheetId="15">PKB!#REF!</definedName>
    <definedName name="外部資料_251" localSheetId="16">PKC!#REF!</definedName>
    <definedName name="外部資料_251" localSheetId="7">PSR!#REF!</definedName>
    <definedName name="外部資料_251" localSheetId="17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4">PKA!#REF!</definedName>
    <definedName name="外部資料_252" localSheetId="15">PKB!#REF!</definedName>
    <definedName name="外部資料_252" localSheetId="16">PKC!#REF!</definedName>
    <definedName name="外部資料_252" localSheetId="7">PSR!#REF!</definedName>
    <definedName name="外部資料_252" localSheetId="2">紅綠燈!#REF!</definedName>
    <definedName name="外部資料_252" localSheetId="17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4">PKA!#REF!</definedName>
    <definedName name="外部資料_253" localSheetId="15">PKB!#REF!</definedName>
    <definedName name="外部資料_253" localSheetId="16">PKC!#REF!</definedName>
    <definedName name="外部資料_253" localSheetId="7">PSR!#REF!</definedName>
    <definedName name="外部資料_253" localSheetId="2">紅綠燈!#REF!</definedName>
    <definedName name="外部資料_253" localSheetId="17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4">PKA!#REF!</definedName>
    <definedName name="外部資料_254" localSheetId="15">PKB!#REF!</definedName>
    <definedName name="外部資料_254" localSheetId="16">PKC!#REF!</definedName>
    <definedName name="外部資料_254" localSheetId="7">PSR!#REF!</definedName>
    <definedName name="外部資料_254" localSheetId="2">紅綠燈!#REF!</definedName>
    <definedName name="外部資料_254" localSheetId="17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4">PKA!#REF!</definedName>
    <definedName name="外部資料_255" localSheetId="15">PKB!#REF!</definedName>
    <definedName name="外部資料_255" localSheetId="16">PKC!#REF!</definedName>
    <definedName name="外部資料_255" localSheetId="7">PSR!#REF!</definedName>
    <definedName name="外部資料_255" localSheetId="17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4">PKA!#REF!</definedName>
    <definedName name="外部資料_256" localSheetId="15">PKB!#REF!</definedName>
    <definedName name="外部資料_256" localSheetId="16">PKC!#REF!</definedName>
    <definedName name="外部資料_256" localSheetId="7">PSR!#REF!</definedName>
    <definedName name="外部資料_256" localSheetId="2">紅綠燈!#REF!</definedName>
    <definedName name="外部資料_256" localSheetId="17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4">PKA!#REF!</definedName>
    <definedName name="外部資料_257" localSheetId="15">PKB!#REF!</definedName>
    <definedName name="外部資料_257" localSheetId="16">PKC!#REF!</definedName>
    <definedName name="外部資料_257" localSheetId="7">PSR!#REF!</definedName>
    <definedName name="外部資料_257" localSheetId="2">紅綠燈!#REF!</definedName>
    <definedName name="外部資料_257" localSheetId="17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4">PKA!#REF!</definedName>
    <definedName name="外部資料_258" localSheetId="15">PKB!#REF!</definedName>
    <definedName name="外部資料_258" localSheetId="16">PKC!#REF!</definedName>
    <definedName name="外部資料_258" localSheetId="7">PSR!#REF!</definedName>
    <definedName name="外部資料_258" localSheetId="2">紅綠燈!#REF!</definedName>
    <definedName name="外部資料_258" localSheetId="17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4">PKA!#REF!</definedName>
    <definedName name="外部資料_259" localSheetId="15">PKB!#REF!</definedName>
    <definedName name="外部資料_259" localSheetId="16">PKC!#REF!</definedName>
    <definedName name="外部資料_259" localSheetId="7">PSR!#REF!</definedName>
    <definedName name="外部資料_259" localSheetId="17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4">PKA!#REF!</definedName>
    <definedName name="外部資料_26" localSheetId="15">PKB!#REF!</definedName>
    <definedName name="外部資料_26" localSheetId="16">PKC!#REF!</definedName>
    <definedName name="外部資料_26" localSheetId="7">PSR!#REF!</definedName>
    <definedName name="外部資料_26" localSheetId="2">紅綠燈!#REF!</definedName>
    <definedName name="外部資料_26" localSheetId="3">評比系統!#REF!</definedName>
    <definedName name="外部資料_26" localSheetId="17">福邦!#REF!</definedName>
    <definedName name="外部資料_26" localSheetId="4">篩股系統!#REF!</definedName>
    <definedName name="外部資料_26" localSheetId="6">營收搶先報!#REF!</definedName>
    <definedName name="外部資料_260" localSheetId="14">PKA!#REF!</definedName>
    <definedName name="外部資料_260" localSheetId="15">PKB!#REF!</definedName>
    <definedName name="外部資料_260" localSheetId="16">PKC!#REF!</definedName>
    <definedName name="外部資料_260" localSheetId="7">PSR!#REF!</definedName>
    <definedName name="外部資料_260" localSheetId="2">紅綠燈!#REF!</definedName>
    <definedName name="外部資料_260" localSheetId="17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4">PKA!#REF!</definedName>
    <definedName name="外部資料_261" localSheetId="15">PKB!#REF!</definedName>
    <definedName name="外部資料_261" localSheetId="16">PKC!#REF!</definedName>
    <definedName name="外部資料_261" localSheetId="7">PSR!#REF!</definedName>
    <definedName name="外部資料_261" localSheetId="2">紅綠燈!#REF!</definedName>
    <definedName name="外部資料_261" localSheetId="17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4">PKA!#REF!</definedName>
    <definedName name="外部資料_262" localSheetId="15">PKB!#REF!</definedName>
    <definedName name="外部資料_262" localSheetId="16">PKC!#REF!</definedName>
    <definedName name="外部資料_262" localSheetId="7">PSR!#REF!</definedName>
    <definedName name="外部資料_262" localSheetId="2">紅綠燈!#REF!</definedName>
    <definedName name="外部資料_262" localSheetId="17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4">PKA!#REF!</definedName>
    <definedName name="外部資料_263" localSheetId="15">PKB!#REF!</definedName>
    <definedName name="外部資料_263" localSheetId="16">PKC!#REF!</definedName>
    <definedName name="外部資料_263" localSheetId="7">PSR!#REF!</definedName>
    <definedName name="外部資料_263" localSheetId="17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4">PKA!#REF!</definedName>
    <definedName name="外部資料_264" localSheetId="15">PKB!#REF!</definedName>
    <definedName name="外部資料_264" localSheetId="16">PKC!#REF!</definedName>
    <definedName name="外部資料_264" localSheetId="7">PSR!#REF!</definedName>
    <definedName name="外部資料_264" localSheetId="2">紅綠燈!#REF!</definedName>
    <definedName name="外部資料_264" localSheetId="17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4">PKA!#REF!</definedName>
    <definedName name="外部資料_265" localSheetId="15">PKB!#REF!</definedName>
    <definedName name="外部資料_265" localSheetId="16">PKC!#REF!</definedName>
    <definedName name="外部資料_265" localSheetId="7">PSR!#REF!</definedName>
    <definedName name="外部資料_265" localSheetId="2">紅綠燈!#REF!</definedName>
    <definedName name="外部資料_265" localSheetId="17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4">PKA!#REF!</definedName>
    <definedName name="外部資料_266" localSheetId="15">PKB!#REF!</definedName>
    <definedName name="外部資料_266" localSheetId="16">PKC!#REF!</definedName>
    <definedName name="外部資料_266" localSheetId="7">PSR!#REF!</definedName>
    <definedName name="外部資料_266" localSheetId="2">紅綠燈!#REF!</definedName>
    <definedName name="外部資料_266" localSheetId="17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4">PKA!#REF!</definedName>
    <definedName name="外部資料_267" localSheetId="15">PKB!#REF!</definedName>
    <definedName name="外部資料_267" localSheetId="16">PKC!#REF!</definedName>
    <definedName name="外部資料_267" localSheetId="7">PSR!#REF!</definedName>
    <definedName name="外部資料_267" localSheetId="17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4">PKA!#REF!</definedName>
    <definedName name="外部資料_268" localSheetId="15">PKB!#REF!</definedName>
    <definedName name="外部資料_268" localSheetId="16">PKC!#REF!</definedName>
    <definedName name="外部資料_268" localSheetId="7">PSR!#REF!</definedName>
    <definedName name="外部資料_268" localSheetId="2">紅綠燈!#REF!</definedName>
    <definedName name="外部資料_268" localSheetId="17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4">PKA!#REF!</definedName>
    <definedName name="外部資料_269" localSheetId="15">PKB!#REF!</definedName>
    <definedName name="外部資料_269" localSheetId="16">PKC!#REF!</definedName>
    <definedName name="外部資料_269" localSheetId="7">PSR!#REF!</definedName>
    <definedName name="外部資料_269" localSheetId="2">紅綠燈!#REF!</definedName>
    <definedName name="外部資料_269" localSheetId="17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4">PKA!#REF!</definedName>
    <definedName name="外部資料_27" localSheetId="15">PKB!#REF!</definedName>
    <definedName name="外部資料_27" localSheetId="16">PKC!#REF!</definedName>
    <definedName name="外部資料_27" localSheetId="7">PSR!#REF!</definedName>
    <definedName name="外部資料_27" localSheetId="3">評比系統!#REF!</definedName>
    <definedName name="外部資料_27" localSheetId="17">福邦!#REF!</definedName>
    <definedName name="外部資料_27" localSheetId="4">篩股系統!#REF!</definedName>
    <definedName name="外部資料_27" localSheetId="6">營收搶先報!#REF!</definedName>
    <definedName name="外部資料_270" localSheetId="14">PKA!#REF!</definedName>
    <definedName name="外部資料_270" localSheetId="15">PKB!#REF!</definedName>
    <definedName name="外部資料_270" localSheetId="16">PKC!#REF!</definedName>
    <definedName name="外部資料_270" localSheetId="7">PSR!#REF!</definedName>
    <definedName name="外部資料_270" localSheetId="2">紅綠燈!#REF!</definedName>
    <definedName name="外部資料_270" localSheetId="17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4">PKA!#REF!</definedName>
    <definedName name="外部資料_271" localSheetId="15">PKB!#REF!</definedName>
    <definedName name="外部資料_271" localSheetId="16">PKC!#REF!</definedName>
    <definedName name="外部資料_271" localSheetId="7">PSR!#REF!</definedName>
    <definedName name="外部資料_271" localSheetId="17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4">PKA!#REF!</definedName>
    <definedName name="外部資料_272" localSheetId="15">PKB!#REF!</definedName>
    <definedName name="外部資料_272" localSheetId="16">PKC!#REF!</definedName>
    <definedName name="外部資料_272" localSheetId="7">PSR!#REF!</definedName>
    <definedName name="外部資料_272" localSheetId="2">紅綠燈!#REF!</definedName>
    <definedName name="外部資料_272" localSheetId="17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4">PKA!#REF!</definedName>
    <definedName name="外部資料_273" localSheetId="15">PKB!#REF!</definedName>
    <definedName name="外部資料_273" localSheetId="16">PKC!#REF!</definedName>
    <definedName name="外部資料_273" localSheetId="7">PSR!#REF!</definedName>
    <definedName name="外部資料_273" localSheetId="2">紅綠燈!#REF!</definedName>
    <definedName name="外部資料_273" localSheetId="17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4">PKA!#REF!</definedName>
    <definedName name="外部資料_274" localSheetId="15">PKB!#REF!</definedName>
    <definedName name="外部資料_274" localSheetId="16">PKC!#REF!</definedName>
    <definedName name="外部資料_274" localSheetId="7">PSR!#REF!</definedName>
    <definedName name="外部資料_274" localSheetId="2">紅綠燈!#REF!</definedName>
    <definedName name="外部資料_274" localSheetId="17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4">PKA!#REF!</definedName>
    <definedName name="外部資料_275" localSheetId="15">PKB!#REF!</definedName>
    <definedName name="外部資料_275" localSheetId="16">PKC!#REF!</definedName>
    <definedName name="外部資料_275" localSheetId="7">PSR!#REF!</definedName>
    <definedName name="外部資料_275" localSheetId="17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4">PKA!#REF!</definedName>
    <definedName name="外部資料_276" localSheetId="15">PKB!#REF!</definedName>
    <definedName name="外部資料_276" localSheetId="16">PKC!#REF!</definedName>
    <definedName name="外部資料_276" localSheetId="7">PSR!#REF!</definedName>
    <definedName name="外部資料_276" localSheetId="2">紅綠燈!#REF!</definedName>
    <definedName name="外部資料_276" localSheetId="17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4">PKA!#REF!</definedName>
    <definedName name="外部資料_277" localSheetId="15">PKB!#REF!</definedName>
    <definedName name="外部資料_277" localSheetId="16">PKC!#REF!</definedName>
    <definedName name="外部資料_277" localSheetId="7">PSR!#REF!</definedName>
    <definedName name="外部資料_277" localSheetId="2">紅綠燈!#REF!</definedName>
    <definedName name="外部資料_277" localSheetId="17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4">PKA!#REF!</definedName>
    <definedName name="外部資料_278" localSheetId="15">PKB!#REF!</definedName>
    <definedName name="外部資料_278" localSheetId="16">PKC!#REF!</definedName>
    <definedName name="外部資料_278" localSheetId="7">PSR!#REF!</definedName>
    <definedName name="外部資料_278" localSheetId="2">紅綠燈!#REF!</definedName>
    <definedName name="外部資料_278" localSheetId="17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4">篩股系統!$D$3:$H$60</definedName>
    <definedName name="外部資料_2789" localSheetId="2">紅綠燈!#REF!</definedName>
    <definedName name="外部資料_279" localSheetId="14">PKA!#REF!</definedName>
    <definedName name="外部資料_279" localSheetId="15">PKB!#REF!</definedName>
    <definedName name="外部資料_279" localSheetId="16">PKC!#REF!</definedName>
    <definedName name="外部資料_279" localSheetId="7">PSR!#REF!</definedName>
    <definedName name="外部資料_279" localSheetId="17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4">PKA!#REF!</definedName>
    <definedName name="外部資料_28" localSheetId="15">PKB!#REF!</definedName>
    <definedName name="外部資料_28" localSheetId="16">PKC!#REF!</definedName>
    <definedName name="外部資料_28" localSheetId="7">PSR!#REF!</definedName>
    <definedName name="外部資料_28" localSheetId="2">紅綠燈!#REF!</definedName>
    <definedName name="外部資料_28" localSheetId="3">評比系統!#REF!</definedName>
    <definedName name="外部資料_28" localSheetId="17">福邦!#REF!</definedName>
    <definedName name="外部資料_28" localSheetId="4">篩股系統!#REF!</definedName>
    <definedName name="外部資料_28" localSheetId="6">營收搶先報!#REF!</definedName>
    <definedName name="外部資料_280" localSheetId="14">PKA!#REF!</definedName>
    <definedName name="外部資料_280" localSheetId="15">PKB!#REF!</definedName>
    <definedName name="外部資料_280" localSheetId="16">PKC!#REF!</definedName>
    <definedName name="外部資料_280" localSheetId="7">PSR!#REF!</definedName>
    <definedName name="外部資料_280" localSheetId="2">紅綠燈!#REF!</definedName>
    <definedName name="外部資料_280" localSheetId="17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4">PKA!#REF!</definedName>
    <definedName name="外部資料_281" localSheetId="15">PKB!#REF!</definedName>
    <definedName name="外部資料_281" localSheetId="16">PKC!#REF!</definedName>
    <definedName name="外部資料_281" localSheetId="7">PSR!#REF!</definedName>
    <definedName name="外部資料_281" localSheetId="2">紅綠燈!#REF!</definedName>
    <definedName name="外部資料_281" localSheetId="17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4">篩股系統!$D$3:$H$60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4">PKA!#REF!</definedName>
    <definedName name="外部資料_282" localSheetId="15">PKB!#REF!</definedName>
    <definedName name="外部資料_282" localSheetId="16">PKC!#REF!</definedName>
    <definedName name="外部資料_282" localSheetId="7">PSR!#REF!</definedName>
    <definedName name="外部資料_282" localSheetId="2">紅綠燈!#REF!</definedName>
    <definedName name="外部資料_282" localSheetId="17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4">PKA!#REF!</definedName>
    <definedName name="外部資料_283" localSheetId="15">PKB!#REF!</definedName>
    <definedName name="外部資料_283" localSheetId="16">PKC!#REF!</definedName>
    <definedName name="外部資料_283" localSheetId="7">PSR!#REF!</definedName>
    <definedName name="外部資料_283" localSheetId="17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4">篩股系統!$D$3:$H$60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4">篩股系統!$D$3:$H$60</definedName>
    <definedName name="外部資料_284" localSheetId="14">PKA!#REF!</definedName>
    <definedName name="外部資料_284" localSheetId="15">PKB!#REF!</definedName>
    <definedName name="外部資料_284" localSheetId="16">PKC!#REF!</definedName>
    <definedName name="外部資料_284" localSheetId="7">PSR!#REF!</definedName>
    <definedName name="外部資料_284" localSheetId="2">紅綠燈!#REF!</definedName>
    <definedName name="外部資料_284" localSheetId="17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4">PKA!#REF!</definedName>
    <definedName name="外部資料_285" localSheetId="15">PKB!#REF!</definedName>
    <definedName name="外部資料_285" localSheetId="16">PKC!#REF!</definedName>
    <definedName name="外部資料_285" localSheetId="2">紅綠燈!#REF!</definedName>
    <definedName name="外部資料_285" localSheetId="17">福邦!#REF!</definedName>
    <definedName name="外部資料_2850" localSheetId="2">紅綠燈!#REF!</definedName>
    <definedName name="外部資料_2850" localSheetId="4">篩股系統!$D$3:$H$60</definedName>
    <definedName name="外部資料_2852" localSheetId="2">紅綠燈!#REF!</definedName>
    <definedName name="外部資料_2853" localSheetId="2">紅綠燈!#REF!</definedName>
    <definedName name="外部資料_2853" localSheetId="4">篩股系統!$D$3:$H$60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4">PKA!#REF!</definedName>
    <definedName name="外部資料_286" localSheetId="15">PKB!#REF!</definedName>
    <definedName name="外部資料_286" localSheetId="16">PKC!#REF!</definedName>
    <definedName name="外部資料_286" localSheetId="2">紅綠燈!#REF!</definedName>
    <definedName name="外部資料_286" localSheetId="17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4">PKA!#REF!</definedName>
    <definedName name="外部資料_287" localSheetId="15">PKB!#REF!</definedName>
    <definedName name="外部資料_287" localSheetId="16">PKC!#REF!</definedName>
    <definedName name="外部資料_287" localSheetId="17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4">PKA!#REF!</definedName>
    <definedName name="外部資料_288" localSheetId="15">PKB!#REF!</definedName>
    <definedName name="外部資料_288" localSheetId="16">PKC!#REF!</definedName>
    <definedName name="外部資料_288" localSheetId="2">紅綠燈!#REF!</definedName>
    <definedName name="外部資料_288" localSheetId="17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4">PKA!#REF!</definedName>
    <definedName name="外部資料_289" localSheetId="15">PKB!#REF!</definedName>
    <definedName name="外部資料_289" localSheetId="16">PKC!#REF!</definedName>
    <definedName name="外部資料_289" localSheetId="2">紅綠燈!#REF!</definedName>
    <definedName name="外部資料_289" localSheetId="17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4">PKA!#REF!</definedName>
    <definedName name="外部資料_29" localSheetId="15">PKB!#REF!</definedName>
    <definedName name="外部資料_29" localSheetId="16">PKC!#REF!</definedName>
    <definedName name="外部資料_29" localSheetId="7">PSR!#REF!</definedName>
    <definedName name="外部資料_29" localSheetId="2">紅綠燈!#REF!</definedName>
    <definedName name="外部資料_29" localSheetId="3">評比系統!#REF!</definedName>
    <definedName name="外部資料_29" localSheetId="17">福邦!#REF!</definedName>
    <definedName name="外部資料_29" localSheetId="4">篩股系統!#REF!</definedName>
    <definedName name="外部資料_29" localSheetId="6">營收搶先報!#REF!</definedName>
    <definedName name="外部資料_290" localSheetId="14">PKA!#REF!</definedName>
    <definedName name="外部資料_290" localSheetId="15">PKB!#REF!</definedName>
    <definedName name="外部資料_290" localSheetId="16">PKC!#REF!</definedName>
    <definedName name="外部資料_290" localSheetId="2">紅綠燈!#REF!</definedName>
    <definedName name="外部資料_290" localSheetId="17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4">PKA!#REF!</definedName>
    <definedName name="外部資料_291" localSheetId="15">PKB!#REF!</definedName>
    <definedName name="外部資料_291" localSheetId="16">PKC!#REF!</definedName>
    <definedName name="外部資料_291" localSheetId="17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4">PKA!#REF!</definedName>
    <definedName name="外部資料_292" localSheetId="15">PKB!#REF!</definedName>
    <definedName name="外部資料_292" localSheetId="16">PKC!#REF!</definedName>
    <definedName name="外部資料_292" localSheetId="2">紅綠燈!#REF!</definedName>
    <definedName name="外部資料_292" localSheetId="17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4">PKA!#REF!</definedName>
    <definedName name="外部資料_293" localSheetId="15">PKB!#REF!</definedName>
    <definedName name="外部資料_293" localSheetId="16">PKC!#REF!</definedName>
    <definedName name="外部資料_293" localSheetId="2">紅綠燈!#REF!</definedName>
    <definedName name="外部資料_293" localSheetId="17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4">PKA!#REF!</definedName>
    <definedName name="外部資料_294" localSheetId="15">PKB!#REF!</definedName>
    <definedName name="外部資料_294" localSheetId="16">PKC!#REF!</definedName>
    <definedName name="外部資料_294" localSheetId="2">紅綠燈!#REF!</definedName>
    <definedName name="外部資料_294" localSheetId="17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4">PKA!#REF!</definedName>
    <definedName name="外部資料_295" localSheetId="15">PKB!#REF!</definedName>
    <definedName name="外部資料_295" localSheetId="16">PKC!#REF!</definedName>
    <definedName name="外部資料_295" localSheetId="17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4">PKA!#REF!</definedName>
    <definedName name="外部資料_296" localSheetId="15">PKB!#REF!</definedName>
    <definedName name="外部資料_296" localSheetId="16">PKC!#REF!</definedName>
    <definedName name="外部資料_296" localSheetId="2">紅綠燈!#REF!</definedName>
    <definedName name="外部資料_296" localSheetId="17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4">PKA!#REF!</definedName>
    <definedName name="外部資料_297" localSheetId="15">PKB!#REF!</definedName>
    <definedName name="外部資料_297" localSheetId="16">PKC!#REF!</definedName>
    <definedName name="外部資料_297" localSheetId="2">紅綠燈!#REF!</definedName>
    <definedName name="外部資料_297" localSheetId="17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4">PKA!#REF!</definedName>
    <definedName name="外部資料_298" localSheetId="15">PKB!#REF!</definedName>
    <definedName name="外部資料_298" localSheetId="16">PKC!#REF!</definedName>
    <definedName name="外部資料_298" localSheetId="2">紅綠燈!#REF!</definedName>
    <definedName name="外部資料_298" localSheetId="17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4">PKA!#REF!</definedName>
    <definedName name="外部資料_299" localSheetId="15">PKB!#REF!</definedName>
    <definedName name="外部資料_299" localSheetId="16">PKC!#REF!</definedName>
    <definedName name="外部資料_299" localSheetId="17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4">PKA!#REF!</definedName>
    <definedName name="外部資料_3" localSheetId="15">PKB!#REF!</definedName>
    <definedName name="外部資料_3" localSheetId="16">PKC!#REF!</definedName>
    <definedName name="外部資料_3" localSheetId="7">PSR!#REF!</definedName>
    <definedName name="外部資料_3" localSheetId="2">紅綠燈!#REF!</definedName>
    <definedName name="外部資料_3" localSheetId="3">評比系統!#REF!</definedName>
    <definedName name="外部資料_3" localSheetId="17">福邦!#REF!</definedName>
    <definedName name="外部資料_3" localSheetId="4">篩股系統!#REF!</definedName>
    <definedName name="外部資料_3" localSheetId="6">營收搶先報!#REF!</definedName>
    <definedName name="外部資料_30" localSheetId="14">PKA!#REF!</definedName>
    <definedName name="外部資料_30" localSheetId="15">PKB!#REF!</definedName>
    <definedName name="外部資料_30" localSheetId="16">PKC!#REF!</definedName>
    <definedName name="外部資料_30" localSheetId="7">PSR!#REF!</definedName>
    <definedName name="外部資料_30" localSheetId="2">紅綠燈!#REF!</definedName>
    <definedName name="外部資料_30" localSheetId="3">評比系統!#REF!</definedName>
    <definedName name="外部資料_30" localSheetId="17">福邦!#REF!</definedName>
    <definedName name="外部資料_30" localSheetId="4">篩股系統!#REF!</definedName>
    <definedName name="外部資料_30" localSheetId="6">營收搶先報!#REF!</definedName>
    <definedName name="外部資料_300" localSheetId="14">PKA!#REF!</definedName>
    <definedName name="外部資料_300" localSheetId="15">PKB!#REF!</definedName>
    <definedName name="外部資料_300" localSheetId="16">PKC!#REF!</definedName>
    <definedName name="外部資料_300" localSheetId="2">紅綠燈!#REF!</definedName>
    <definedName name="外部資料_300" localSheetId="17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4">PKA!#REF!</definedName>
    <definedName name="外部資料_301" localSheetId="15">PKB!#REF!</definedName>
    <definedName name="外部資料_301" localSheetId="16">PKC!#REF!</definedName>
    <definedName name="外部資料_301" localSheetId="2">紅綠燈!#REF!</definedName>
    <definedName name="外部資料_301" localSheetId="17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4">PKA!#REF!</definedName>
    <definedName name="外部資料_302" localSheetId="15">PKB!#REF!</definedName>
    <definedName name="外部資料_302" localSheetId="16">PKC!#REF!</definedName>
    <definedName name="外部資料_302" localSheetId="2">紅綠燈!#REF!</definedName>
    <definedName name="外部資料_302" localSheetId="17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4">PKA!#REF!</definedName>
    <definedName name="外部資料_303" localSheetId="15">PKB!#REF!</definedName>
    <definedName name="外部資料_303" localSheetId="16">PKC!#REF!</definedName>
    <definedName name="外部資料_303" localSheetId="17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4">PKA!#REF!</definedName>
    <definedName name="外部資料_304" localSheetId="15">PKB!#REF!</definedName>
    <definedName name="外部資料_304" localSheetId="16">PKC!#REF!</definedName>
    <definedName name="外部資料_304" localSheetId="2">紅綠燈!#REF!</definedName>
    <definedName name="外部資料_304" localSheetId="17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4">PKA!#REF!</definedName>
    <definedName name="外部資料_305" localSheetId="15">PKB!#REF!</definedName>
    <definedName name="外部資料_305" localSheetId="16">PKC!#REF!</definedName>
    <definedName name="外部資料_305" localSheetId="2">紅綠燈!#REF!</definedName>
    <definedName name="外部資料_305" localSheetId="17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4">PKA!#REF!</definedName>
    <definedName name="外部資料_306" localSheetId="15">PKB!#REF!</definedName>
    <definedName name="外部資料_306" localSheetId="16">PKC!#REF!</definedName>
    <definedName name="外部資料_306" localSheetId="2">紅綠燈!#REF!</definedName>
    <definedName name="外部資料_306" localSheetId="17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4">PKA!#REF!</definedName>
    <definedName name="外部資料_307" localSheetId="15">PKB!#REF!</definedName>
    <definedName name="外部資料_307" localSheetId="16">PKC!#REF!</definedName>
    <definedName name="外部資料_307" localSheetId="17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4">PKA!#REF!</definedName>
    <definedName name="外部資料_308" localSheetId="15">PKB!#REF!</definedName>
    <definedName name="外部資料_308" localSheetId="16">PKC!#REF!</definedName>
    <definedName name="外部資料_308" localSheetId="2">紅綠燈!#REF!</definedName>
    <definedName name="外部資料_308" localSheetId="17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4">PKA!#REF!</definedName>
    <definedName name="外部資料_309" localSheetId="15">PKB!#REF!</definedName>
    <definedName name="外部資料_309" localSheetId="16">PKC!#REF!</definedName>
    <definedName name="外部資料_309" localSheetId="2">紅綠燈!#REF!</definedName>
    <definedName name="外部資料_309" localSheetId="17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4">PKA!#REF!</definedName>
    <definedName name="外部資料_31" localSheetId="15">PKB!#REF!</definedName>
    <definedName name="外部資料_31" localSheetId="16">PKC!#REF!</definedName>
    <definedName name="外部資料_31" localSheetId="7">PSR!#REF!</definedName>
    <definedName name="外部資料_31" localSheetId="3">評比系統!#REF!</definedName>
    <definedName name="外部資料_31" localSheetId="17">福邦!#REF!</definedName>
    <definedName name="外部資料_31" localSheetId="4">篩股系統!#REF!</definedName>
    <definedName name="外部資料_31" localSheetId="6">營收搶先報!#REF!</definedName>
    <definedName name="外部資料_310" localSheetId="14">PKA!#REF!</definedName>
    <definedName name="外部資料_310" localSheetId="15">PKB!#REF!</definedName>
    <definedName name="外部資料_310" localSheetId="16">PKC!#REF!</definedName>
    <definedName name="外部資料_310" localSheetId="2">紅綠燈!#REF!</definedName>
    <definedName name="外部資料_310" localSheetId="17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4">PKA!#REF!</definedName>
    <definedName name="外部資料_311" localSheetId="15">PKB!#REF!</definedName>
    <definedName name="外部資料_311" localSheetId="16">PKC!#REF!</definedName>
    <definedName name="外部資料_311" localSheetId="17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4">PKA!#REF!</definedName>
    <definedName name="外部資料_312" localSheetId="15">PKB!#REF!</definedName>
    <definedName name="外部資料_312" localSheetId="16">PKC!#REF!</definedName>
    <definedName name="外部資料_312" localSheetId="2">紅綠燈!#REF!</definedName>
    <definedName name="外部資料_312" localSheetId="17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4">PKA!#REF!</definedName>
    <definedName name="外部資料_313" localSheetId="15">PKB!#REF!</definedName>
    <definedName name="外部資料_313" localSheetId="16">PKC!#REF!</definedName>
    <definedName name="外部資料_313" localSheetId="2">紅綠燈!#REF!</definedName>
    <definedName name="外部資料_313" localSheetId="17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4">PKA!#REF!</definedName>
    <definedName name="外部資料_314" localSheetId="15">PKB!#REF!</definedName>
    <definedName name="外部資料_314" localSheetId="16">PKC!#REF!</definedName>
    <definedName name="外部資料_314" localSheetId="2">紅綠燈!#REF!</definedName>
    <definedName name="外部資料_314" localSheetId="17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4">PKA!#REF!</definedName>
    <definedName name="外部資料_315" localSheetId="15">PKB!#REF!</definedName>
    <definedName name="外部資料_315" localSheetId="16">PKC!#REF!</definedName>
    <definedName name="外部資料_315" localSheetId="17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4">PKA!#REF!</definedName>
    <definedName name="外部資料_316" localSheetId="15">PKB!#REF!</definedName>
    <definedName name="外部資料_316" localSheetId="16">PKC!#REF!</definedName>
    <definedName name="外部資料_316" localSheetId="2">紅綠燈!#REF!</definedName>
    <definedName name="外部資料_316" localSheetId="17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4">PKA!#REF!</definedName>
    <definedName name="外部資料_317" localSheetId="15">PKB!#REF!</definedName>
    <definedName name="外部資料_317" localSheetId="16">PKC!#REF!</definedName>
    <definedName name="外部資料_317" localSheetId="2">紅綠燈!#REF!</definedName>
    <definedName name="外部資料_317" localSheetId="17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4">PKA!#REF!</definedName>
    <definedName name="外部資料_318" localSheetId="15">PKB!#REF!</definedName>
    <definedName name="外部資料_318" localSheetId="16">PKC!#REF!</definedName>
    <definedName name="外部資料_318" localSheetId="2">紅綠燈!#REF!</definedName>
    <definedName name="外部資料_318" localSheetId="17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4">PKA!#REF!</definedName>
    <definedName name="外部資料_319" localSheetId="15">PKB!#REF!</definedName>
    <definedName name="外部資料_319" localSheetId="16">PKC!#REF!</definedName>
    <definedName name="外部資料_319" localSheetId="17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4">PKA!#REF!</definedName>
    <definedName name="外部資料_32" localSheetId="15">PKB!#REF!</definedName>
    <definedName name="外部資料_32" localSheetId="16">PKC!#REF!</definedName>
    <definedName name="外部資料_32" localSheetId="7">PSR!#REF!</definedName>
    <definedName name="外部資料_32" localSheetId="2">紅綠燈!#REF!</definedName>
    <definedName name="外部資料_32" localSheetId="3">評比系統!#REF!</definedName>
    <definedName name="外部資料_32" localSheetId="17">福邦!#REF!</definedName>
    <definedName name="外部資料_32" localSheetId="4">篩股系統!#REF!</definedName>
    <definedName name="外部資料_32" localSheetId="6">營收搶先報!#REF!</definedName>
    <definedName name="外部資料_320" localSheetId="14">PKA!#REF!</definedName>
    <definedName name="外部資料_320" localSheetId="15">PKB!#REF!</definedName>
    <definedName name="外部資料_320" localSheetId="16">PKC!#REF!</definedName>
    <definedName name="外部資料_320" localSheetId="2">紅綠燈!#REF!</definedName>
    <definedName name="外部資料_320" localSheetId="17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4">PKA!#REF!</definedName>
    <definedName name="外部資料_321" localSheetId="15">PKB!#REF!</definedName>
    <definedName name="外部資料_321" localSheetId="16">PKC!#REF!</definedName>
    <definedName name="外部資料_321" localSheetId="2">紅綠燈!#REF!</definedName>
    <definedName name="外部資料_321" localSheetId="17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4">PKA!#REF!</definedName>
    <definedName name="外部資料_322" localSheetId="15">PKB!#REF!</definedName>
    <definedName name="外部資料_322" localSheetId="16">PKC!#REF!</definedName>
    <definedName name="外部資料_322" localSheetId="2">紅綠燈!#REF!</definedName>
    <definedName name="外部資料_322" localSheetId="17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4">PKA!#REF!</definedName>
    <definedName name="外部資料_323" localSheetId="15">PKB!#REF!</definedName>
    <definedName name="外部資料_323" localSheetId="16">PKC!#REF!</definedName>
    <definedName name="外部資料_323" localSheetId="17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4">PKA!#REF!</definedName>
    <definedName name="外部資料_324" localSheetId="15">PKB!#REF!</definedName>
    <definedName name="外部資料_324" localSheetId="16">PKC!#REF!</definedName>
    <definedName name="外部資料_324" localSheetId="2">紅綠燈!#REF!</definedName>
    <definedName name="外部資料_324" localSheetId="17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4">PKA!#REF!</definedName>
    <definedName name="外部資料_325" localSheetId="15">PKB!#REF!</definedName>
    <definedName name="外部資料_325" localSheetId="16">PKC!#REF!</definedName>
    <definedName name="外部資料_325" localSheetId="2">紅綠燈!#REF!</definedName>
    <definedName name="外部資料_325" localSheetId="17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4">PKA!#REF!</definedName>
    <definedName name="外部資料_326" localSheetId="15">PKB!#REF!</definedName>
    <definedName name="外部資料_326" localSheetId="16">PKC!#REF!</definedName>
    <definedName name="外部資料_326" localSheetId="2">紅綠燈!#REF!</definedName>
    <definedName name="外部資料_326" localSheetId="17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4">PKA!#REF!</definedName>
    <definedName name="外部資料_327" localSheetId="15">PKB!#REF!</definedName>
    <definedName name="外部資料_327" localSheetId="16">PKC!#REF!</definedName>
    <definedName name="外部資料_327" localSheetId="17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4">PKA!#REF!</definedName>
    <definedName name="外部資料_328" localSheetId="15">PKB!#REF!</definedName>
    <definedName name="外部資料_328" localSheetId="16">PKC!#REF!</definedName>
    <definedName name="外部資料_328" localSheetId="2">紅綠燈!#REF!</definedName>
    <definedName name="外部資料_328" localSheetId="17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4">PKA!#REF!</definedName>
    <definedName name="外部資料_329" localSheetId="15">PKB!#REF!</definedName>
    <definedName name="外部資料_329" localSheetId="16">PKC!#REF!</definedName>
    <definedName name="外部資料_329" localSheetId="2">紅綠燈!#REF!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4">PKA!#REF!</definedName>
    <definedName name="外部資料_33" localSheetId="15">PKB!#REF!</definedName>
    <definedName name="外部資料_33" localSheetId="16">PKC!#REF!</definedName>
    <definedName name="外部資料_33" localSheetId="7">PSR!#REF!</definedName>
    <definedName name="外部資料_33" localSheetId="2">紅綠燈!#REF!</definedName>
    <definedName name="外部資料_33" localSheetId="3">評比系統!#REF!</definedName>
    <definedName name="外部資料_33" localSheetId="17">福邦!#REF!</definedName>
    <definedName name="外部資料_33" localSheetId="4">篩股系統!#REF!</definedName>
    <definedName name="外部資料_33" localSheetId="6">營收搶先報!#REF!</definedName>
    <definedName name="外部資料_330" localSheetId="14">PKA!#REF!</definedName>
    <definedName name="外部資料_330" localSheetId="15">PKB!#REF!</definedName>
    <definedName name="外部資料_330" localSheetId="16">PKC!#REF!</definedName>
    <definedName name="外部資料_330" localSheetId="2">紅綠燈!#REF!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4">PKA!#REF!</definedName>
    <definedName name="外部資料_331" localSheetId="15">PKB!#REF!</definedName>
    <definedName name="外部資料_331" localSheetId="16">PKC!#REF!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4">PKA!#REF!</definedName>
    <definedName name="外部資料_332" localSheetId="15">PKB!#REF!</definedName>
    <definedName name="外部資料_332" localSheetId="16">PKC!#REF!</definedName>
    <definedName name="外部資料_332" localSheetId="2">紅綠燈!#REF!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4">PKA!#REF!</definedName>
    <definedName name="外部資料_333" localSheetId="15">PKB!#REF!</definedName>
    <definedName name="外部資料_333" localSheetId="16">PKC!#REF!</definedName>
    <definedName name="外部資料_333" localSheetId="2">紅綠燈!#REF!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4">PKA!#REF!</definedName>
    <definedName name="外部資料_334" localSheetId="15">PKB!#REF!</definedName>
    <definedName name="外部資料_334" localSheetId="16">PKC!#REF!</definedName>
    <definedName name="外部資料_334" localSheetId="2">紅綠燈!#REF!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4">PKA!#REF!</definedName>
    <definedName name="外部資料_335" localSheetId="15">PKB!#REF!</definedName>
    <definedName name="外部資料_335" localSheetId="16">PKC!#REF!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4">PKA!#REF!</definedName>
    <definedName name="外部資料_336" localSheetId="15">PKB!#REF!</definedName>
    <definedName name="外部資料_336" localSheetId="16">PKC!#REF!</definedName>
    <definedName name="外部資料_336" localSheetId="2">紅綠燈!#REF!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4">PKA!#REF!</definedName>
    <definedName name="外部資料_337" localSheetId="15">PKB!#REF!</definedName>
    <definedName name="外部資料_337" localSheetId="16">PKC!#REF!</definedName>
    <definedName name="外部資料_337" localSheetId="2">紅綠燈!#REF!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4">PKA!#REF!</definedName>
    <definedName name="外部資料_338" localSheetId="15">PKB!#REF!</definedName>
    <definedName name="外部資料_338" localSheetId="16">PKC!#REF!</definedName>
    <definedName name="外部資料_338" localSheetId="2">紅綠燈!#REF!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4">PKA!#REF!</definedName>
    <definedName name="外部資料_339" localSheetId="15">PKB!#REF!</definedName>
    <definedName name="外部資料_339" localSheetId="16">PKC!#REF!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4">PKA!#REF!</definedName>
    <definedName name="外部資料_34" localSheetId="15">PKB!#REF!</definedName>
    <definedName name="外部資料_34" localSheetId="16">PKC!#REF!</definedName>
    <definedName name="外部資料_34" localSheetId="7">PSR!#REF!</definedName>
    <definedName name="外部資料_34" localSheetId="2">紅綠燈!#REF!</definedName>
    <definedName name="外部資料_34" localSheetId="3">評比系統!#REF!</definedName>
    <definedName name="外部資料_34" localSheetId="17">福邦!#REF!</definedName>
    <definedName name="外部資料_34" localSheetId="4">篩股系統!#REF!</definedName>
    <definedName name="外部資料_34" localSheetId="6">營收搶先報!#REF!</definedName>
    <definedName name="外部資料_340" localSheetId="14">PKA!#REF!</definedName>
    <definedName name="外部資料_340" localSheetId="15">PKB!#REF!</definedName>
    <definedName name="外部資料_340" localSheetId="16">PKC!#REF!</definedName>
    <definedName name="外部資料_340" localSheetId="2">紅綠燈!#REF!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4">PKA!#REF!</definedName>
    <definedName name="外部資料_341" localSheetId="15">PKB!#REF!</definedName>
    <definedName name="外部資料_341" localSheetId="16">PKC!#REF!</definedName>
    <definedName name="外部資料_341" localSheetId="2">紅綠燈!#REF!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4">PKA!#REF!</definedName>
    <definedName name="外部資料_342" localSheetId="15">PKB!#REF!</definedName>
    <definedName name="外部資料_342" localSheetId="16">PKC!#REF!</definedName>
    <definedName name="外部資料_342" localSheetId="2">紅綠燈!#REF!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4">PKA!#REF!</definedName>
    <definedName name="外部資料_343" localSheetId="15">PKB!#REF!</definedName>
    <definedName name="外部資料_343" localSheetId="16">PKC!#REF!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4">PKA!#REF!</definedName>
    <definedName name="外部資料_344" localSheetId="15">PKB!#REF!</definedName>
    <definedName name="外部資料_344" localSheetId="16">PKC!#REF!</definedName>
    <definedName name="外部資料_344" localSheetId="2">紅綠燈!#REF!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4">PKA!#REF!</definedName>
    <definedName name="外部資料_345" localSheetId="15">PKB!#REF!</definedName>
    <definedName name="外部資料_345" localSheetId="16">PKC!#REF!</definedName>
    <definedName name="外部資料_345" localSheetId="2">紅綠燈!#REF!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4">PKA!#REF!</definedName>
    <definedName name="外部資料_346" localSheetId="15">PKB!#REF!</definedName>
    <definedName name="外部資料_346" localSheetId="16">PKC!#REF!</definedName>
    <definedName name="外部資料_346" localSheetId="2">紅綠燈!#REF!</definedName>
    <definedName name="外部資料_346" localSheetId="4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4">PKA!#REF!</definedName>
    <definedName name="外部資料_347" localSheetId="15">PKB!#REF!</definedName>
    <definedName name="外部資料_347" localSheetId="16">PKC!#REF!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4">PKA!#REF!</definedName>
    <definedName name="外部資料_348" localSheetId="15">PKB!#REF!</definedName>
    <definedName name="外部資料_348" localSheetId="16">PKC!#REF!</definedName>
    <definedName name="外部資料_348" localSheetId="2">紅綠燈!#REF!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4">PKA!#REF!</definedName>
    <definedName name="外部資料_349" localSheetId="15">PKB!#REF!</definedName>
    <definedName name="外部資料_349" localSheetId="16">PKC!#REF!</definedName>
    <definedName name="外部資料_349" localSheetId="2">紅綠燈!#REF!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4">PKA!#REF!</definedName>
    <definedName name="外部資料_35" localSheetId="15">PKB!#REF!</definedName>
    <definedName name="外部資料_35" localSheetId="16">PKC!#REF!</definedName>
    <definedName name="外部資料_35" localSheetId="7">PSR!#REF!</definedName>
    <definedName name="外部資料_35" localSheetId="2">紅綠燈!#REF!</definedName>
    <definedName name="外部資料_35" localSheetId="3">評比系統!#REF!</definedName>
    <definedName name="外部資料_35" localSheetId="17">福邦!#REF!</definedName>
    <definedName name="外部資料_35" localSheetId="4">篩股系統!#REF!</definedName>
    <definedName name="外部資料_35" localSheetId="6">營收搶先報!#REF!</definedName>
    <definedName name="外部資料_350" localSheetId="14">PKA!#REF!</definedName>
    <definedName name="外部資料_350" localSheetId="15">PKB!#REF!</definedName>
    <definedName name="外部資料_350" localSheetId="16">PKC!#REF!</definedName>
    <definedName name="外部資料_350" localSheetId="2">紅綠燈!#REF!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4">PKA!#REF!</definedName>
    <definedName name="外部資料_351" localSheetId="15">PKB!#REF!</definedName>
    <definedName name="外部資料_351" localSheetId="16">PKC!#REF!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4">PKA!#REF!</definedName>
    <definedName name="外部資料_352" localSheetId="15">PKB!#REF!</definedName>
    <definedName name="外部資料_352" localSheetId="16">PKC!#REF!</definedName>
    <definedName name="外部資料_352" localSheetId="2">紅綠燈!#REF!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4">PKA!#REF!</definedName>
    <definedName name="外部資料_353" localSheetId="15">PKB!#REF!</definedName>
    <definedName name="外部資料_353" localSheetId="16">PKC!#REF!</definedName>
    <definedName name="外部資料_353" localSheetId="2">紅綠燈!#REF!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4">PKA!#REF!</definedName>
    <definedName name="外部資料_354" localSheetId="15">PKB!#REF!</definedName>
    <definedName name="外部資料_354" localSheetId="16">PKC!#REF!</definedName>
    <definedName name="外部資料_354" localSheetId="2">紅綠燈!#REF!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4">PKA!#REF!</definedName>
    <definedName name="外部資料_355" localSheetId="15">PKB!#REF!</definedName>
    <definedName name="外部資料_355" localSheetId="16">PKC!#REF!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4">PKA!#REF!</definedName>
    <definedName name="外部資料_356" localSheetId="15">PKB!#REF!</definedName>
    <definedName name="外部資料_356" localSheetId="16">PKC!#REF!</definedName>
    <definedName name="外部資料_356" localSheetId="2">紅綠燈!#REF!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4">PKA!#REF!</definedName>
    <definedName name="外部資料_357" localSheetId="15">PKB!#REF!</definedName>
    <definedName name="外部資料_357" localSheetId="16">PKC!#REF!</definedName>
    <definedName name="外部資料_357" localSheetId="2">紅綠燈!#REF!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4">PKA!#REF!</definedName>
    <definedName name="外部資料_358" localSheetId="15">PKB!#REF!</definedName>
    <definedName name="外部資料_358" localSheetId="16">PKC!#REF!</definedName>
    <definedName name="外部資料_358" localSheetId="2">紅綠燈!#REF!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4">PKA!#REF!</definedName>
    <definedName name="外部資料_359" localSheetId="15">PKB!#REF!</definedName>
    <definedName name="外部資料_359" localSheetId="16">PKC!#REF!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4">PKA!#REF!</definedName>
    <definedName name="外部資料_36" localSheetId="15">PKB!#REF!</definedName>
    <definedName name="外部資料_36" localSheetId="16">PKC!#REF!</definedName>
    <definedName name="外部資料_36" localSheetId="7">PSR!#REF!</definedName>
    <definedName name="外部資料_36" localSheetId="2">紅綠燈!#REF!</definedName>
    <definedName name="外部資料_36" localSheetId="3">評比系統!#REF!</definedName>
    <definedName name="外部資料_36" localSheetId="17">福邦!#REF!</definedName>
    <definedName name="外部資料_36" localSheetId="4">篩股系統!#REF!</definedName>
    <definedName name="外部資料_36" localSheetId="6">營收搶先報!#REF!</definedName>
    <definedName name="外部資料_360" localSheetId="14">PKA!#REF!</definedName>
    <definedName name="外部資料_360" localSheetId="15">PKB!#REF!</definedName>
    <definedName name="外部資料_360" localSheetId="16">PKC!#REF!</definedName>
    <definedName name="外部資料_360" localSheetId="2">紅綠燈!#REF!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4">PKA!#REF!</definedName>
    <definedName name="外部資料_361" localSheetId="15">PKB!#REF!</definedName>
    <definedName name="外部資料_361" localSheetId="16">PKC!#REF!</definedName>
    <definedName name="外部資料_361" localSheetId="2">紅綠燈!#REF!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4">PKA!#REF!</definedName>
    <definedName name="外部資料_362" localSheetId="15">PKB!#REF!</definedName>
    <definedName name="外部資料_362" localSheetId="16">PKC!#REF!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4">PKA!#REF!</definedName>
    <definedName name="外部資料_363" localSheetId="15">PKB!#REF!</definedName>
    <definedName name="外部資料_363" localSheetId="16">PKC!#REF!</definedName>
    <definedName name="外部資料_363" localSheetId="2">紅綠燈!#REF!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4">PKA!#REF!</definedName>
    <definedName name="外部資料_364" localSheetId="15">PKB!#REF!</definedName>
    <definedName name="外部資料_364" localSheetId="16">PKC!#REF!</definedName>
    <definedName name="外部資料_364" localSheetId="2">紅綠燈!#REF!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4">PKA!#REF!</definedName>
    <definedName name="外部資料_365" localSheetId="15">PKB!#REF!</definedName>
    <definedName name="外部資料_365" localSheetId="16">PKC!#REF!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4">PKA!#REF!</definedName>
    <definedName name="外部資料_366" localSheetId="15">PKB!#REF!</definedName>
    <definedName name="外部資料_366" localSheetId="16">PKC!#REF!</definedName>
    <definedName name="外部資料_366" localSheetId="2">紅綠燈!#REF!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4">PKA!#REF!</definedName>
    <definedName name="外部資料_367" localSheetId="15">PKB!#REF!</definedName>
    <definedName name="外部資料_367" localSheetId="16">PKC!#REF!</definedName>
    <definedName name="外部資料_367" localSheetId="2">紅綠燈!#REF!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4">PKA!#REF!</definedName>
    <definedName name="外部資料_368" localSheetId="15">PKB!#REF!</definedName>
    <definedName name="外部資料_368" localSheetId="16">PKC!#REF!</definedName>
    <definedName name="外部資料_368" localSheetId="2">紅綠燈!#REF!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4">PKA!#REF!</definedName>
    <definedName name="外部資料_369" localSheetId="15">PKB!#REF!</definedName>
    <definedName name="外部資料_369" localSheetId="16">PKC!#REF!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4">PKA!#REF!</definedName>
    <definedName name="外部資料_37" localSheetId="15">PKB!#REF!</definedName>
    <definedName name="外部資料_37" localSheetId="16">PKC!#REF!</definedName>
    <definedName name="外部資料_37" localSheetId="7">PSR!#REF!</definedName>
    <definedName name="外部資料_37" localSheetId="2">紅綠燈!#REF!</definedName>
    <definedName name="外部資料_37" localSheetId="3">評比系統!#REF!</definedName>
    <definedName name="外部資料_37" localSheetId="17">福邦!#REF!</definedName>
    <definedName name="外部資料_37" localSheetId="4">篩股系統!#REF!</definedName>
    <definedName name="外部資料_37" localSheetId="6">營收搶先報!#REF!</definedName>
    <definedName name="外部資料_370" localSheetId="14">PKA!#REF!</definedName>
    <definedName name="外部資料_370" localSheetId="15">PKB!#REF!</definedName>
    <definedName name="外部資料_370" localSheetId="16">PKC!#REF!</definedName>
    <definedName name="外部資料_370" localSheetId="2">紅綠燈!#REF!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4">PKA!#REF!</definedName>
    <definedName name="外部資料_371" localSheetId="15">PKB!#REF!</definedName>
    <definedName name="外部資料_371" localSheetId="16">PKC!#REF!</definedName>
    <definedName name="外部資料_371" localSheetId="2">紅綠燈!#REF!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4">PKA!#REF!</definedName>
    <definedName name="外部資料_372" localSheetId="15">PKB!#REF!</definedName>
    <definedName name="外部資料_372" localSheetId="16">PKC!#REF!</definedName>
    <definedName name="外部資料_372" localSheetId="2">紅綠燈!#REF!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4">PKA!#REF!</definedName>
    <definedName name="外部資料_373" localSheetId="15">PKB!#REF!</definedName>
    <definedName name="外部資料_373" localSheetId="16">PKC!#REF!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4">PKA!#REF!</definedName>
    <definedName name="外部資料_374" localSheetId="15">PKB!#REF!</definedName>
    <definedName name="外部資料_374" localSheetId="16">PKC!#REF!</definedName>
    <definedName name="外部資料_374" localSheetId="2">紅綠燈!#REF!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4">PKA!#REF!</definedName>
    <definedName name="外部資料_375" localSheetId="15">PKB!#REF!</definedName>
    <definedName name="外部資料_375" localSheetId="16">PKC!#REF!</definedName>
    <definedName name="外部資料_375" localSheetId="2">紅綠燈!#REF!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4">PKA!#REF!</definedName>
    <definedName name="外部資料_376" localSheetId="15">PKB!#REF!</definedName>
    <definedName name="外部資料_376" localSheetId="16">PKC!#REF!</definedName>
    <definedName name="外部資料_376" localSheetId="2">紅綠燈!#REF!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4">PKA!#REF!</definedName>
    <definedName name="外部資料_377" localSheetId="15">PKB!#REF!</definedName>
    <definedName name="外部資料_377" localSheetId="16">PKC!#REF!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4">PKA!#REF!</definedName>
    <definedName name="外部資料_378" localSheetId="15">PKB!#REF!</definedName>
    <definedName name="外部資料_378" localSheetId="16">PKC!#REF!</definedName>
    <definedName name="外部資料_378" localSheetId="2">紅綠燈!#REF!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4">PKA!#REF!</definedName>
    <definedName name="外部資料_379" localSheetId="15">PKB!#REF!</definedName>
    <definedName name="外部資料_379" localSheetId="16">PKC!#REF!</definedName>
    <definedName name="外部資料_379" localSheetId="2">紅綠燈!#REF!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4">PKA!#REF!</definedName>
    <definedName name="外部資料_38" localSheetId="15">PKB!#REF!</definedName>
    <definedName name="外部資料_38" localSheetId="16">PKC!#REF!</definedName>
    <definedName name="外部資料_38" localSheetId="7">PSR!#REF!</definedName>
    <definedName name="外部資料_38" localSheetId="2">紅綠燈!#REF!</definedName>
    <definedName name="外部資料_38" localSheetId="3">評比系統!#REF!</definedName>
    <definedName name="外部資料_38" localSheetId="17">福邦!#REF!</definedName>
    <definedName name="外部資料_38" localSheetId="4">篩股系統!#REF!</definedName>
    <definedName name="外部資料_38" localSheetId="6">營收搶先報!#REF!</definedName>
    <definedName name="外部資料_380" localSheetId="14">PKA!#REF!</definedName>
    <definedName name="外部資料_380" localSheetId="15">PKB!#REF!</definedName>
    <definedName name="外部資料_380" localSheetId="16">PKC!#REF!</definedName>
    <definedName name="外部資料_380" localSheetId="2">紅綠燈!#REF!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4">PKA!#REF!</definedName>
    <definedName name="外部資料_381" localSheetId="15">PKB!#REF!</definedName>
    <definedName name="外部資料_381" localSheetId="16">PKC!#REF!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4">PKA!#REF!</definedName>
    <definedName name="外部資料_382" localSheetId="15">PKB!#REF!</definedName>
    <definedName name="外部資料_382" localSheetId="16">PKC!#REF!</definedName>
    <definedName name="外部資料_382" localSheetId="2">紅綠燈!#REF!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4">PKA!#REF!</definedName>
    <definedName name="外部資料_383" localSheetId="15">PKB!#REF!</definedName>
    <definedName name="外部資料_383" localSheetId="16">PKC!#REF!</definedName>
    <definedName name="外部資料_383" localSheetId="2">紅綠燈!#REF!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4">PKA!#REF!</definedName>
    <definedName name="外部資料_384" localSheetId="15">PKB!#REF!</definedName>
    <definedName name="外部資料_384" localSheetId="16">PKC!#REF!</definedName>
    <definedName name="外部資料_384" localSheetId="2">紅綠燈!#REF!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4">PKA!#REF!</definedName>
    <definedName name="外部資料_385" localSheetId="15">PKB!#REF!</definedName>
    <definedName name="外部資料_385" localSheetId="16">PKC!#REF!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4">PKA!#REF!</definedName>
    <definedName name="外部資料_386" localSheetId="15">PKB!#REF!</definedName>
    <definedName name="外部資料_386" localSheetId="16">PKC!#REF!</definedName>
    <definedName name="外部資料_386" localSheetId="2">紅綠燈!#REF!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4">PKA!#REF!</definedName>
    <definedName name="外部資料_387" localSheetId="15">PKB!#REF!</definedName>
    <definedName name="外部資料_387" localSheetId="16">PKC!#REF!</definedName>
    <definedName name="外部資料_387" localSheetId="2">紅綠燈!#REF!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4">PKA!#REF!</definedName>
    <definedName name="外部資料_388" localSheetId="15">PKB!#REF!</definedName>
    <definedName name="外部資料_388" localSheetId="16">PKC!#REF!</definedName>
    <definedName name="外部資料_388" localSheetId="2">紅綠燈!#REF!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4">PKA!#REF!</definedName>
    <definedName name="外部資料_389" localSheetId="15">PKB!#REF!</definedName>
    <definedName name="外部資料_389" localSheetId="16">PKC!#REF!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4">PKA!#REF!</definedName>
    <definedName name="外部資料_39" localSheetId="15">PKB!#REF!</definedName>
    <definedName name="外部資料_39" localSheetId="16">PKC!#REF!</definedName>
    <definedName name="外部資料_39" localSheetId="7">PSR!#REF!</definedName>
    <definedName name="外部資料_39" localSheetId="2">紅綠燈!#REF!</definedName>
    <definedName name="外部資料_39" localSheetId="3">評比系統!#REF!</definedName>
    <definedName name="外部資料_39" localSheetId="17">福邦!#REF!</definedName>
    <definedName name="外部資料_39" localSheetId="4">篩股系統!#REF!</definedName>
    <definedName name="外部資料_39" localSheetId="6">營收搶先報!#REF!</definedName>
    <definedName name="外部資料_390" localSheetId="14">PKA!#REF!</definedName>
    <definedName name="外部資料_390" localSheetId="15">PKB!#REF!</definedName>
    <definedName name="外部資料_390" localSheetId="16">PKC!#REF!</definedName>
    <definedName name="外部資料_390" localSheetId="2">紅綠燈!#REF!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4">PKA!#REF!</definedName>
    <definedName name="外部資料_391" localSheetId="15">PKB!#REF!</definedName>
    <definedName name="外部資料_391" localSheetId="16">PKC!#REF!</definedName>
    <definedName name="外部資料_391" localSheetId="2">紅綠燈!#REF!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4">PKA!#REF!</definedName>
    <definedName name="外部資料_392" localSheetId="15">PKB!#REF!</definedName>
    <definedName name="外部資料_392" localSheetId="16">PKC!#REF!</definedName>
    <definedName name="外部資料_392" localSheetId="2">紅綠燈!#REF!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4">PKA!#REF!</definedName>
    <definedName name="外部資料_393" localSheetId="15">PKB!#REF!</definedName>
    <definedName name="外部資料_393" localSheetId="16">PKC!#REF!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4">PKA!#REF!</definedName>
    <definedName name="外部資料_394" localSheetId="15">PKB!#REF!</definedName>
    <definedName name="外部資料_394" localSheetId="16">PKC!#REF!</definedName>
    <definedName name="外部資料_394" localSheetId="2">紅綠燈!#REF!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4">PKA!#REF!</definedName>
    <definedName name="外部資料_395" localSheetId="15">PKB!#REF!</definedName>
    <definedName name="外部資料_395" localSheetId="16">PKC!#REF!</definedName>
    <definedName name="外部資料_395" localSheetId="2">紅綠燈!#REF!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4">PKA!#REF!</definedName>
    <definedName name="外部資料_396" localSheetId="15">PKB!#REF!</definedName>
    <definedName name="外部資料_396" localSheetId="16">PKC!#REF!</definedName>
    <definedName name="外部資料_396" localSheetId="2">紅綠燈!#REF!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4">PKA!#REF!</definedName>
    <definedName name="外部資料_397" localSheetId="15">PKB!#REF!</definedName>
    <definedName name="外部資料_397" localSheetId="16">PKC!#REF!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4">PKA!#REF!</definedName>
    <definedName name="外部資料_398" localSheetId="15">PKB!#REF!</definedName>
    <definedName name="外部資料_398" localSheetId="16">PKC!#REF!</definedName>
    <definedName name="外部資料_398" localSheetId="2">紅綠燈!#REF!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4">PKA!#REF!</definedName>
    <definedName name="外部資料_399" localSheetId="15">PKB!#REF!</definedName>
    <definedName name="外部資料_399" localSheetId="16">PKC!#REF!</definedName>
    <definedName name="外部資料_399" localSheetId="2">紅綠燈!#REF!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4">PKA!#REF!</definedName>
    <definedName name="外部資料_4" localSheetId="15">PKB!#REF!</definedName>
    <definedName name="外部資料_4" localSheetId="16">PKC!#REF!</definedName>
    <definedName name="外部資料_4" localSheetId="7">PSR!#REF!</definedName>
    <definedName name="外部資料_4" localSheetId="2">紅綠燈!#REF!</definedName>
    <definedName name="外部資料_4" localSheetId="3">評比系統!#REF!</definedName>
    <definedName name="外部資料_4" localSheetId="17">福邦!#REF!</definedName>
    <definedName name="外部資料_4" localSheetId="4">篩股系統!#REF!</definedName>
    <definedName name="外部資料_4" localSheetId="6">營收搶先報!#REF!</definedName>
    <definedName name="外部資料_40" localSheetId="14">PKA!#REF!</definedName>
    <definedName name="外部資料_40" localSheetId="15">PKB!#REF!</definedName>
    <definedName name="外部資料_40" localSheetId="16">PKC!#REF!</definedName>
    <definedName name="外部資料_40" localSheetId="7">PSR!#REF!</definedName>
    <definedName name="外部資料_40" localSheetId="2">紅綠燈!#REF!</definedName>
    <definedName name="外部資料_40" localSheetId="3">評比系統!#REF!</definedName>
    <definedName name="外部資料_40" localSheetId="17">福邦!#REF!</definedName>
    <definedName name="外部資料_40" localSheetId="6">營收搶先報!#REF!</definedName>
    <definedName name="外部資料_400" localSheetId="14">PKA!#REF!</definedName>
    <definedName name="外部資料_400" localSheetId="15">PKB!#REF!</definedName>
    <definedName name="外部資料_400" localSheetId="16">PKC!#REF!</definedName>
    <definedName name="外部資料_400" localSheetId="2">紅綠燈!#REF!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4">PKA!#REF!</definedName>
    <definedName name="外部資料_401" localSheetId="15">PKB!#REF!</definedName>
    <definedName name="外部資料_401" localSheetId="16">PKC!#REF!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4">PKA!#REF!</definedName>
    <definedName name="外部資料_402" localSheetId="15">PKB!#REF!</definedName>
    <definedName name="外部資料_402" localSheetId="16">PKC!#REF!</definedName>
    <definedName name="外部資料_402" localSheetId="2">紅綠燈!#REF!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4">PKA!#REF!</definedName>
    <definedName name="外部資料_403" localSheetId="15">PKB!#REF!</definedName>
    <definedName name="外部資料_403" localSheetId="16">PKC!#REF!</definedName>
    <definedName name="外部資料_403" localSheetId="2">紅綠燈!#REF!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4">PKA!#REF!</definedName>
    <definedName name="外部資料_404" localSheetId="15">PKB!#REF!</definedName>
    <definedName name="外部資料_404" localSheetId="16">PKC!#REF!</definedName>
    <definedName name="外部資料_404" localSheetId="2">紅綠燈!#REF!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4">PKA!#REF!</definedName>
    <definedName name="外部資料_405" localSheetId="15">PKB!#REF!</definedName>
    <definedName name="外部資料_405" localSheetId="16">PKC!#REF!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4">PKA!#REF!</definedName>
    <definedName name="外部資料_406" localSheetId="15">PKB!#REF!</definedName>
    <definedName name="外部資料_406" localSheetId="16">PKC!#REF!</definedName>
    <definedName name="外部資料_406" localSheetId="2">紅綠燈!#REF!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4">PKA!#REF!</definedName>
    <definedName name="外部資料_407" localSheetId="15">PKB!#REF!</definedName>
    <definedName name="外部資料_407" localSheetId="16">PKC!#REF!</definedName>
    <definedName name="外部資料_407" localSheetId="2">紅綠燈!#REF!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4">PKA!#REF!</definedName>
    <definedName name="外部資料_408" localSheetId="15">PKB!#REF!</definedName>
    <definedName name="外部資料_408" localSheetId="16">PKC!#REF!</definedName>
    <definedName name="外部資料_408" localSheetId="2">紅綠燈!#REF!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4">PKA!#REF!</definedName>
    <definedName name="外部資料_409" localSheetId="15">PKB!#REF!</definedName>
    <definedName name="外部資料_409" localSheetId="16">PKC!#REF!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4">PKA!#REF!</definedName>
    <definedName name="外部資料_41" localSheetId="15">PKB!#REF!</definedName>
    <definedName name="外部資料_41" localSheetId="16">PKC!#REF!</definedName>
    <definedName name="外部資料_41" localSheetId="7">PSR!#REF!</definedName>
    <definedName name="外部資料_41" localSheetId="2">紅綠燈!#REF!</definedName>
    <definedName name="外部資料_41" localSheetId="3">評比系統!#REF!</definedName>
    <definedName name="外部資料_41" localSheetId="17">福邦!#REF!</definedName>
    <definedName name="外部資料_41" localSheetId="4">篩股系統!#REF!</definedName>
    <definedName name="外部資料_41" localSheetId="6">營收搶先報!#REF!</definedName>
    <definedName name="外部資料_410" localSheetId="14">PKA!#REF!</definedName>
    <definedName name="外部資料_410" localSheetId="15">PKB!#REF!</definedName>
    <definedName name="外部資料_410" localSheetId="16">PKC!#REF!</definedName>
    <definedName name="外部資料_410" localSheetId="2">紅綠燈!#REF!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4">PKA!#REF!</definedName>
    <definedName name="外部資料_411" localSheetId="15">PKB!#REF!</definedName>
    <definedName name="外部資料_411" localSheetId="16">PKC!#REF!</definedName>
    <definedName name="外部資料_411" localSheetId="2">紅綠燈!#REF!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4">PKA!#REF!</definedName>
    <definedName name="外部資料_412" localSheetId="15">PKB!#REF!</definedName>
    <definedName name="外部資料_412" localSheetId="16">PKC!#REF!</definedName>
    <definedName name="外部資料_412" localSheetId="2">紅綠燈!#REF!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4">PKA!#REF!</definedName>
    <definedName name="外部資料_413" localSheetId="15">PKB!#REF!</definedName>
    <definedName name="外部資料_413" localSheetId="16">PKC!#REF!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4">PKA!#REF!</definedName>
    <definedName name="外部資料_414" localSheetId="15">PKB!#REF!</definedName>
    <definedName name="外部資料_414" localSheetId="16">PKC!#REF!</definedName>
    <definedName name="外部資料_414" localSheetId="2">紅綠燈!#REF!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4">PKA!#REF!</definedName>
    <definedName name="外部資料_415" localSheetId="15">PKB!#REF!</definedName>
    <definedName name="外部資料_415" localSheetId="16">PKC!#REF!</definedName>
    <definedName name="外部資料_415" localSheetId="2">紅綠燈!#REF!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4">PKA!#REF!</definedName>
    <definedName name="外部資料_416" localSheetId="15">PKB!#REF!</definedName>
    <definedName name="外部資料_416" localSheetId="16">PKC!#REF!</definedName>
    <definedName name="外部資料_416" localSheetId="2">紅綠燈!#REF!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4">PKA!#REF!</definedName>
    <definedName name="外部資料_417" localSheetId="15">PKB!#REF!</definedName>
    <definedName name="外部資料_417" localSheetId="16">PKC!#REF!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4">PKA!#REF!</definedName>
    <definedName name="外部資料_418" localSheetId="15">PKB!#REF!</definedName>
    <definedName name="外部資料_418" localSheetId="16">PKC!#REF!</definedName>
    <definedName name="外部資料_418" localSheetId="2">紅綠燈!#REF!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4">PKA!#REF!</definedName>
    <definedName name="外部資料_419" localSheetId="15">PKB!#REF!</definedName>
    <definedName name="外部資料_419" localSheetId="16">PKC!#REF!</definedName>
    <definedName name="外部資料_419" localSheetId="2">紅綠燈!#REF!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4">PKA!#REF!</definedName>
    <definedName name="外部資料_42" localSheetId="15">PKB!#REF!</definedName>
    <definedName name="外部資料_42" localSheetId="16">PKC!#REF!</definedName>
    <definedName name="外部資料_42" localSheetId="7">PSR!#REF!</definedName>
    <definedName name="外部資料_42" localSheetId="2">紅綠燈!#REF!</definedName>
    <definedName name="外部資料_42" localSheetId="3">評比系統!#REF!</definedName>
    <definedName name="外部資料_42" localSheetId="17">福邦!#REF!</definedName>
    <definedName name="外部資料_42" localSheetId="4">篩股系統!#REF!</definedName>
    <definedName name="外部資料_42" localSheetId="6">營收搶先報!#REF!</definedName>
    <definedName name="外部資料_420" localSheetId="14">PKA!#REF!</definedName>
    <definedName name="外部資料_420" localSheetId="15">PKB!#REF!</definedName>
    <definedName name="外部資料_420" localSheetId="16">PKC!#REF!</definedName>
    <definedName name="外部資料_420" localSheetId="2">紅綠燈!#REF!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4">PKA!#REF!</definedName>
    <definedName name="外部資料_421" localSheetId="15">PKB!#REF!</definedName>
    <definedName name="外部資料_421" localSheetId="16">PKC!#REF!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4">PKA!#REF!</definedName>
    <definedName name="外部資料_422" localSheetId="15">PKB!#REF!</definedName>
    <definedName name="外部資料_422" localSheetId="16">PKC!#REF!</definedName>
    <definedName name="外部資料_422" localSheetId="2">紅綠燈!#REF!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4">PKA!#REF!</definedName>
    <definedName name="外部資料_423" localSheetId="15">PKB!#REF!</definedName>
    <definedName name="外部資料_423" localSheetId="16">PKC!#REF!</definedName>
    <definedName name="外部資料_423" localSheetId="2">紅綠燈!#REF!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4">PKA!#REF!</definedName>
    <definedName name="外部資料_424" localSheetId="15">PKB!#REF!</definedName>
    <definedName name="外部資料_424" localSheetId="16">PKC!#REF!</definedName>
    <definedName name="外部資料_424" localSheetId="2">紅綠燈!#REF!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4">PKA!#REF!</definedName>
    <definedName name="外部資料_425" localSheetId="15">PKB!#REF!</definedName>
    <definedName name="外部資料_425" localSheetId="16">PKC!#REF!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4">PKA!#REF!</definedName>
    <definedName name="外部資料_426" localSheetId="15">PKB!#REF!</definedName>
    <definedName name="外部資料_426" localSheetId="16">PKC!#REF!</definedName>
    <definedName name="外部資料_426" localSheetId="2">紅綠燈!#REF!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4">PKA!#REF!</definedName>
    <definedName name="外部資料_427" localSheetId="15">PKB!#REF!</definedName>
    <definedName name="外部資料_427" localSheetId="16">PKC!#REF!</definedName>
    <definedName name="外部資料_427" localSheetId="2">紅綠燈!#REF!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4">PKA!#REF!</definedName>
    <definedName name="外部資料_428" localSheetId="15">PKB!#REF!</definedName>
    <definedName name="外部資料_428" localSheetId="16">PKC!#REF!</definedName>
    <definedName name="外部資料_428" localSheetId="2">紅綠燈!#REF!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4">PKA!#REF!</definedName>
    <definedName name="外部資料_429" localSheetId="15">PKB!#REF!</definedName>
    <definedName name="外部資料_429" localSheetId="16">PKC!#REF!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4">PKA!#REF!</definedName>
    <definedName name="外部資料_43" localSheetId="15">PKB!#REF!</definedName>
    <definedName name="外部資料_43" localSheetId="16">PKC!#REF!</definedName>
    <definedName name="外部資料_43" localSheetId="7">PSR!#REF!</definedName>
    <definedName name="外部資料_43" localSheetId="3">評比系統!#REF!</definedName>
    <definedName name="外部資料_43" localSheetId="17">福邦!#REF!</definedName>
    <definedName name="外部資料_43" localSheetId="6">營收搶先報!#REF!</definedName>
    <definedName name="外部資料_430" localSheetId="14">PKA!#REF!</definedName>
    <definedName name="外部資料_430" localSheetId="15">PKB!#REF!</definedName>
    <definedName name="外部資料_430" localSheetId="16">PKC!#REF!</definedName>
    <definedName name="外部資料_430" localSheetId="2">紅綠燈!#REF!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4">PKA!#REF!</definedName>
    <definedName name="外部資料_431" localSheetId="15">PKB!#REF!</definedName>
    <definedName name="外部資料_431" localSheetId="16">PKC!#REF!</definedName>
    <definedName name="外部資料_431" localSheetId="2">紅綠燈!#REF!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4">PKA!#REF!</definedName>
    <definedName name="外部資料_432" localSheetId="15">PKB!#REF!</definedName>
    <definedName name="外部資料_432" localSheetId="16">PKC!#REF!</definedName>
    <definedName name="外部資料_432" localSheetId="2">紅綠燈!#REF!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4">PKA!#REF!</definedName>
    <definedName name="外部資料_433" localSheetId="15">PKB!#REF!</definedName>
    <definedName name="外部資料_433" localSheetId="16">PKC!#REF!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4">PKA!#REF!</definedName>
    <definedName name="外部資料_434" localSheetId="15">PKB!#REF!</definedName>
    <definedName name="外部資料_434" localSheetId="16">PKC!#REF!</definedName>
    <definedName name="外部資料_434" localSheetId="2">紅綠燈!#REF!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4">PKA!#REF!</definedName>
    <definedName name="外部資料_435" localSheetId="15">PKB!#REF!</definedName>
    <definedName name="外部資料_435" localSheetId="16">PKC!#REF!</definedName>
    <definedName name="外部資料_435" localSheetId="2">紅綠燈!#REF!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4">PKA!#REF!</definedName>
    <definedName name="外部資料_436" localSheetId="15">PKB!#REF!</definedName>
    <definedName name="外部資料_436" localSheetId="16">PKC!#REF!</definedName>
    <definedName name="外部資料_436" localSheetId="2">紅綠燈!#REF!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4">PKA!#REF!</definedName>
    <definedName name="外部資料_437" localSheetId="15">PKB!#REF!</definedName>
    <definedName name="外部資料_437" localSheetId="16">PKC!#REF!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4">PKA!#REF!</definedName>
    <definedName name="外部資料_438" localSheetId="15">PKB!#REF!</definedName>
    <definedName name="外部資料_438" localSheetId="16">PKC!#REF!</definedName>
    <definedName name="外部資料_438" localSheetId="2">紅綠燈!#REF!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4">PKA!#REF!</definedName>
    <definedName name="外部資料_439" localSheetId="15">PKB!#REF!</definedName>
    <definedName name="外部資料_439" localSheetId="16">PKC!#REF!</definedName>
    <definedName name="外部資料_439" localSheetId="2">紅綠燈!#REF!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4">PKA!#REF!</definedName>
    <definedName name="外部資料_44" localSheetId="15">PKB!#REF!</definedName>
    <definedName name="外部資料_44" localSheetId="16">PKC!#REF!</definedName>
    <definedName name="外部資料_44" localSheetId="7">PSR!#REF!</definedName>
    <definedName name="外部資料_44" localSheetId="3">評比系統!#REF!</definedName>
    <definedName name="外部資料_44" localSheetId="17">福邦!#REF!</definedName>
    <definedName name="外部資料_44" localSheetId="6">營收搶先報!#REF!</definedName>
    <definedName name="外部資料_440" localSheetId="14">PKA!#REF!</definedName>
    <definedName name="外部資料_440" localSheetId="15">PKB!#REF!</definedName>
    <definedName name="外部資料_440" localSheetId="16">PKC!#REF!</definedName>
    <definedName name="外部資料_440" localSheetId="2">紅綠燈!#REF!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4">PKA!#REF!</definedName>
    <definedName name="外部資料_441" localSheetId="15">PKB!#REF!</definedName>
    <definedName name="外部資料_441" localSheetId="16">PKC!#REF!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4">PKA!#REF!</definedName>
    <definedName name="外部資料_442" localSheetId="15">PKB!#REF!</definedName>
    <definedName name="外部資料_442" localSheetId="16">PKC!#REF!</definedName>
    <definedName name="外部資料_442" localSheetId="2">紅綠燈!#REF!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4">PKA!#REF!</definedName>
    <definedName name="外部資料_443" localSheetId="15">PKB!#REF!</definedName>
    <definedName name="外部資料_443" localSheetId="16">PKC!#REF!</definedName>
    <definedName name="外部資料_443" localSheetId="2">紅綠燈!#REF!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4">PKA!#REF!</definedName>
    <definedName name="外部資料_444" localSheetId="15">PKB!#REF!</definedName>
    <definedName name="外部資料_444" localSheetId="16">PKC!#REF!</definedName>
    <definedName name="外部資料_444" localSheetId="2">紅綠燈!#REF!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4">PKA!#REF!</definedName>
    <definedName name="外部資料_445" localSheetId="15">PKB!#REF!</definedName>
    <definedName name="外部資料_445" localSheetId="16">PKC!#REF!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4">PKA!#REF!</definedName>
    <definedName name="外部資料_446" localSheetId="15">PKB!#REF!</definedName>
    <definedName name="外部資料_446" localSheetId="16">PKC!#REF!</definedName>
    <definedName name="外部資料_446" localSheetId="2">紅綠燈!#REF!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4">PKA!#REF!</definedName>
    <definedName name="外部資料_447" localSheetId="15">PKB!#REF!</definedName>
    <definedName name="外部資料_447" localSheetId="16">PKC!#REF!</definedName>
    <definedName name="外部資料_447" localSheetId="2">紅綠燈!#REF!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4">PKA!#REF!</definedName>
    <definedName name="外部資料_448" localSheetId="15">PKB!#REF!</definedName>
    <definedName name="外部資料_448" localSheetId="16">PKC!#REF!</definedName>
    <definedName name="外部資料_448" localSheetId="2">紅綠燈!#REF!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4">PKA!#REF!</definedName>
    <definedName name="外部資料_449" localSheetId="15">PKB!#REF!</definedName>
    <definedName name="外部資料_449" localSheetId="16">PKC!#REF!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4">PKA!#REF!</definedName>
    <definedName name="外部資料_45" localSheetId="15">PKB!#REF!</definedName>
    <definedName name="外部資料_45" localSheetId="16">PKC!#REF!</definedName>
    <definedName name="外部資料_45" localSheetId="7">PSR!#REF!</definedName>
    <definedName name="外部資料_45" localSheetId="3">評比系統!#REF!</definedName>
    <definedName name="外部資料_45" localSheetId="17">福邦!#REF!</definedName>
    <definedName name="外部資料_45" localSheetId="6">營收搶先報!#REF!</definedName>
    <definedName name="外部資料_450" localSheetId="14">PKA!#REF!</definedName>
    <definedName name="外部資料_450" localSheetId="15">PKB!#REF!</definedName>
    <definedName name="外部資料_450" localSheetId="16">PKC!#REF!</definedName>
    <definedName name="外部資料_450" localSheetId="2">紅綠燈!#REF!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4">PKA!#REF!</definedName>
    <definedName name="外部資料_451" localSheetId="15">PKB!#REF!</definedName>
    <definedName name="外部資料_451" localSheetId="16">PKC!#REF!</definedName>
    <definedName name="外部資料_451" localSheetId="2">紅綠燈!#REF!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4">PKA!#REF!</definedName>
    <definedName name="外部資料_452" localSheetId="15">PKB!#REF!</definedName>
    <definedName name="外部資料_452" localSheetId="16">PKC!#REF!</definedName>
    <definedName name="外部資料_452" localSheetId="2">紅綠燈!#REF!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4">PKA!#REF!</definedName>
    <definedName name="外部資料_453" localSheetId="15">PKB!#REF!</definedName>
    <definedName name="外部資料_453" localSheetId="16">PKC!#REF!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4">PKA!#REF!</definedName>
    <definedName name="外部資料_454" localSheetId="15">PKB!#REF!</definedName>
    <definedName name="外部資料_454" localSheetId="16">PKC!#REF!</definedName>
    <definedName name="外部資料_454" localSheetId="2">紅綠燈!#REF!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4">PKA!#REF!</definedName>
    <definedName name="外部資料_455" localSheetId="15">PKB!#REF!</definedName>
    <definedName name="外部資料_455" localSheetId="16">PKC!#REF!</definedName>
    <definedName name="外部資料_455" localSheetId="2">紅綠燈!#REF!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4">PKA!#REF!</definedName>
    <definedName name="外部資料_456" localSheetId="15">PKB!#REF!</definedName>
    <definedName name="外部資料_456" localSheetId="16">PKC!#REF!</definedName>
    <definedName name="外部資料_456" localSheetId="2">紅綠燈!#REF!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4">PKA!#REF!</definedName>
    <definedName name="外部資料_457" localSheetId="15">PKB!#REF!</definedName>
    <definedName name="外部資料_457" localSheetId="16">PKC!#REF!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4">PKA!#REF!</definedName>
    <definedName name="外部資料_458" localSheetId="15">PKB!#REF!</definedName>
    <definedName name="外部資料_458" localSheetId="16">PKC!#REF!</definedName>
    <definedName name="外部資料_458" localSheetId="2">紅綠燈!#REF!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4">PKA!#REF!</definedName>
    <definedName name="外部資料_459" localSheetId="15">PKB!#REF!</definedName>
    <definedName name="外部資料_459" localSheetId="16">PKC!#REF!</definedName>
    <definedName name="外部資料_459" localSheetId="2">紅綠燈!#REF!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4">PKA!#REF!</definedName>
    <definedName name="外部資料_46" localSheetId="15">PKB!#REF!</definedName>
    <definedName name="外部資料_46" localSheetId="16">PKC!#REF!</definedName>
    <definedName name="外部資料_46" localSheetId="7">PSR!#REF!</definedName>
    <definedName name="外部資料_46" localSheetId="3">評比系統!#REF!</definedName>
    <definedName name="外部資料_46" localSheetId="17">福邦!#REF!</definedName>
    <definedName name="外部資料_46" localSheetId="6">營收搶先報!#REF!</definedName>
    <definedName name="外部資料_460" localSheetId="14">PKA!#REF!</definedName>
    <definedName name="外部資料_460" localSheetId="15">PKB!#REF!</definedName>
    <definedName name="外部資料_460" localSheetId="16">PKC!#REF!</definedName>
    <definedName name="外部資料_460" localSheetId="2">紅綠燈!#REF!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4">PKA!#REF!</definedName>
    <definedName name="外部資料_461" localSheetId="15">PKB!#REF!</definedName>
    <definedName name="外部資料_461" localSheetId="16">PKC!#REF!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4">PKA!#REF!</definedName>
    <definedName name="外部資料_462" localSheetId="15">PKB!#REF!</definedName>
    <definedName name="外部資料_462" localSheetId="16">PKC!#REF!</definedName>
    <definedName name="外部資料_462" localSheetId="2">紅綠燈!#REF!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4">PKA!#REF!</definedName>
    <definedName name="外部資料_463" localSheetId="15">PKB!#REF!</definedName>
    <definedName name="外部資料_463" localSheetId="16">PKC!#REF!</definedName>
    <definedName name="外部資料_463" localSheetId="2">紅綠燈!#REF!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4">PKA!#REF!</definedName>
    <definedName name="外部資料_464" localSheetId="15">PKB!#REF!</definedName>
    <definedName name="外部資料_464" localSheetId="16">PKC!#REF!</definedName>
    <definedName name="外部資料_464" localSheetId="2">紅綠燈!#REF!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4">PKA!#REF!</definedName>
    <definedName name="外部資料_465" localSheetId="15">PKB!#REF!</definedName>
    <definedName name="外部資料_465" localSheetId="16">PKC!#REF!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4">PKA!#REF!</definedName>
    <definedName name="外部資料_466" localSheetId="15">PKB!#REF!</definedName>
    <definedName name="外部資料_466" localSheetId="16">PKC!#REF!</definedName>
    <definedName name="外部資料_466" localSheetId="2">紅綠燈!#REF!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4">PKA!#REF!</definedName>
    <definedName name="外部資料_467" localSheetId="15">PKB!#REF!</definedName>
    <definedName name="外部資料_467" localSheetId="16">PKC!#REF!</definedName>
    <definedName name="外部資料_467" localSheetId="2">紅綠燈!#REF!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4">PKA!#REF!</definedName>
    <definedName name="外部資料_468" localSheetId="15">PKB!#REF!</definedName>
    <definedName name="外部資料_468" localSheetId="16">PKC!#REF!</definedName>
    <definedName name="外部資料_468" localSheetId="2">紅綠燈!#REF!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4">PKA!#REF!</definedName>
    <definedName name="外部資料_469" localSheetId="15">PKB!#REF!</definedName>
    <definedName name="外部資料_469" localSheetId="16">PKC!#REF!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4">PKA!#REF!</definedName>
    <definedName name="外部資料_47" localSheetId="15">PKB!#REF!</definedName>
    <definedName name="外部資料_47" localSheetId="16">PKC!#REF!</definedName>
    <definedName name="外部資料_47" localSheetId="7">PSR!#REF!</definedName>
    <definedName name="外部資料_47" localSheetId="3">評比系統!#REF!</definedName>
    <definedName name="外部資料_47" localSheetId="17">福邦!#REF!</definedName>
    <definedName name="外部資料_47" localSheetId="6">營收搶先報!#REF!</definedName>
    <definedName name="外部資料_470" localSheetId="14">PKA!#REF!</definedName>
    <definedName name="外部資料_470" localSheetId="15">PKB!#REF!</definedName>
    <definedName name="外部資料_470" localSheetId="16">PKC!#REF!</definedName>
    <definedName name="外部資料_470" localSheetId="2">紅綠燈!#REF!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4">PKA!#REF!</definedName>
    <definedName name="外部資料_471" localSheetId="15">PKB!#REF!</definedName>
    <definedName name="外部資料_471" localSheetId="16">PKC!#REF!</definedName>
    <definedName name="外部資料_471" localSheetId="2">紅綠燈!#REF!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4">PKA!#REF!</definedName>
    <definedName name="外部資料_472" localSheetId="15">PKB!#REF!</definedName>
    <definedName name="外部資料_472" localSheetId="16">PKC!#REF!</definedName>
    <definedName name="外部資料_472" localSheetId="2">紅綠燈!#REF!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4">PKA!#REF!</definedName>
    <definedName name="外部資料_473" localSheetId="15">PKB!#REF!</definedName>
    <definedName name="外部資料_473" localSheetId="16">PKC!#REF!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4">PKA!#REF!</definedName>
    <definedName name="外部資料_474" localSheetId="15">PKB!#REF!</definedName>
    <definedName name="外部資料_474" localSheetId="16">PKC!#REF!</definedName>
    <definedName name="外部資料_474" localSheetId="2">紅綠燈!#REF!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4">PKA!#REF!</definedName>
    <definedName name="外部資料_475" localSheetId="15">PKB!#REF!</definedName>
    <definedName name="外部資料_475" localSheetId="16">PKC!#REF!</definedName>
    <definedName name="外部資料_475" localSheetId="2">紅綠燈!#REF!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4">PKA!#REF!</definedName>
    <definedName name="外部資料_476" localSheetId="15">PKB!#REF!</definedName>
    <definedName name="外部資料_476" localSheetId="16">PKC!#REF!</definedName>
    <definedName name="外部資料_476" localSheetId="2">紅綠燈!#REF!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4">PKA!#REF!</definedName>
    <definedName name="外部資料_477" localSheetId="15">PKB!#REF!</definedName>
    <definedName name="外部資料_477" localSheetId="16">PKC!#REF!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4">PKA!#REF!</definedName>
    <definedName name="外部資料_478" localSheetId="15">PKB!#REF!</definedName>
    <definedName name="外部資料_478" localSheetId="16">PKC!#REF!</definedName>
    <definedName name="外部資料_478" localSheetId="2">紅綠燈!#REF!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4">PKA!#REF!</definedName>
    <definedName name="外部資料_479" localSheetId="15">PKB!#REF!</definedName>
    <definedName name="外部資料_479" localSheetId="16">PKC!#REF!</definedName>
    <definedName name="外部資料_479" localSheetId="2">紅綠燈!#REF!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4">PKA!#REF!</definedName>
    <definedName name="外部資料_48" localSheetId="15">PKB!#REF!</definedName>
    <definedName name="外部資料_48" localSheetId="16">PKC!#REF!</definedName>
    <definedName name="外部資料_48" localSheetId="7">PSR!#REF!</definedName>
    <definedName name="外部資料_48" localSheetId="3">評比系統!#REF!</definedName>
    <definedName name="外部資料_48" localSheetId="17">福邦!#REF!</definedName>
    <definedName name="外部資料_48" localSheetId="6">營收搶先報!#REF!</definedName>
    <definedName name="外部資料_480" localSheetId="14">PKA!#REF!</definedName>
    <definedName name="外部資料_480" localSheetId="15">PKB!#REF!</definedName>
    <definedName name="外部資料_480" localSheetId="16">PKC!#REF!</definedName>
    <definedName name="外部資料_480" localSheetId="2">紅綠燈!#REF!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4">PKA!#REF!</definedName>
    <definedName name="外部資料_481" localSheetId="15">PKB!#REF!</definedName>
    <definedName name="外部資料_481" localSheetId="16">PKC!#REF!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4">PKA!#REF!</definedName>
    <definedName name="外部資料_482" localSheetId="15">PKB!#REF!</definedName>
    <definedName name="外部資料_482" localSheetId="16">PKC!#REF!</definedName>
    <definedName name="外部資料_482" localSheetId="2">紅綠燈!#REF!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4">PKA!#REF!</definedName>
    <definedName name="外部資料_483" localSheetId="15">PKB!#REF!</definedName>
    <definedName name="外部資料_483" localSheetId="16">PKC!#REF!</definedName>
    <definedName name="外部資料_483" localSheetId="2">紅綠燈!#REF!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4">PKA!#REF!</definedName>
    <definedName name="外部資料_484" localSheetId="15">PKB!#REF!</definedName>
    <definedName name="外部資料_484" localSheetId="16">PKC!#REF!</definedName>
    <definedName name="外部資料_484" localSheetId="2">紅綠燈!#REF!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4">PKA!#REF!</definedName>
    <definedName name="外部資料_485" localSheetId="15">PKB!#REF!</definedName>
    <definedName name="外部資料_485" localSheetId="16">PKC!#REF!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4">PKA!#REF!</definedName>
    <definedName name="外部資料_486" localSheetId="15">PKB!#REF!</definedName>
    <definedName name="外部資料_486" localSheetId="16">PKC!#REF!</definedName>
    <definedName name="外部資料_486" localSheetId="2">紅綠燈!#REF!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4">PKA!#REF!</definedName>
    <definedName name="外部資料_487" localSheetId="15">PKB!#REF!</definedName>
    <definedName name="外部資料_487" localSheetId="16">PKC!#REF!</definedName>
    <definedName name="外部資料_487" localSheetId="2">紅綠燈!#REF!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4">PKA!#REF!</definedName>
    <definedName name="外部資料_488" localSheetId="15">PKB!#REF!</definedName>
    <definedName name="外部資料_488" localSheetId="16">PKC!#REF!</definedName>
    <definedName name="外部資料_488" localSheetId="2">紅綠燈!#REF!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4">PKA!#REF!</definedName>
    <definedName name="外部資料_489" localSheetId="15">PKB!#REF!</definedName>
    <definedName name="外部資料_489" localSheetId="16">PKC!#REF!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4">PKA!#REF!</definedName>
    <definedName name="外部資料_49" localSheetId="15">PKB!#REF!</definedName>
    <definedName name="外部資料_49" localSheetId="16">PKC!#REF!</definedName>
    <definedName name="外部資料_49" localSheetId="7">PSR!#REF!</definedName>
    <definedName name="外部資料_49" localSheetId="3">評比系統!#REF!</definedName>
    <definedName name="外部資料_49" localSheetId="17">福邦!#REF!</definedName>
    <definedName name="外部資料_49" localSheetId="6">營收搶先報!#REF!</definedName>
    <definedName name="外部資料_490" localSheetId="14">PKA!#REF!</definedName>
    <definedName name="外部資料_490" localSheetId="15">PKB!#REF!</definedName>
    <definedName name="外部資料_490" localSheetId="16">PKC!#REF!</definedName>
    <definedName name="外部資料_490" localSheetId="2">紅綠燈!#REF!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4">PKA!#REF!</definedName>
    <definedName name="外部資料_491" localSheetId="15">PKB!#REF!</definedName>
    <definedName name="外部資料_491" localSheetId="16">PKC!#REF!</definedName>
    <definedName name="外部資料_491" localSheetId="2">紅綠燈!#REF!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4">PKA!#REF!</definedName>
    <definedName name="外部資料_492" localSheetId="15">PKB!#REF!</definedName>
    <definedName name="外部資料_492" localSheetId="16">PKC!#REF!</definedName>
    <definedName name="外部資料_492" localSheetId="2">紅綠燈!#REF!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4">PKA!#REF!</definedName>
    <definedName name="外部資料_493" localSheetId="15">PKB!#REF!</definedName>
    <definedName name="外部資料_493" localSheetId="16">PKC!#REF!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4">PKA!#REF!</definedName>
    <definedName name="外部資料_494" localSheetId="15">PKB!#REF!</definedName>
    <definedName name="外部資料_494" localSheetId="16">PKC!#REF!</definedName>
    <definedName name="外部資料_494" localSheetId="2">紅綠燈!#REF!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4">PKA!#REF!</definedName>
    <definedName name="外部資料_495" localSheetId="15">PKB!#REF!</definedName>
    <definedName name="外部資料_495" localSheetId="16">PKC!#REF!</definedName>
    <definedName name="外部資料_495" localSheetId="2">紅綠燈!#REF!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4">PKA!#REF!</definedName>
    <definedName name="外部資料_496" localSheetId="15">PKB!#REF!</definedName>
    <definedName name="外部資料_496" localSheetId="16">PKC!#REF!</definedName>
    <definedName name="外部資料_496" localSheetId="2">紅綠燈!#REF!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4">PKA!#REF!</definedName>
    <definedName name="外部資料_497" localSheetId="15">PKB!#REF!</definedName>
    <definedName name="外部資料_497" localSheetId="16">PKC!#REF!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4">PKA!#REF!</definedName>
    <definedName name="外部資料_498" localSheetId="15">PKB!#REF!</definedName>
    <definedName name="外部資料_498" localSheetId="16">PKC!#REF!</definedName>
    <definedName name="外部資料_498" localSheetId="2">紅綠燈!#REF!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4">PKA!#REF!</definedName>
    <definedName name="外部資料_499" localSheetId="15">PKB!#REF!</definedName>
    <definedName name="外部資料_499" localSheetId="16">PKC!#REF!</definedName>
    <definedName name="外部資料_499" localSheetId="2">紅綠燈!#REF!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4">PKA!#REF!</definedName>
    <definedName name="外部資料_5" localSheetId="15">PKB!#REF!</definedName>
    <definedName name="外部資料_5" localSheetId="16">PKC!#REF!</definedName>
    <definedName name="外部資料_5" localSheetId="7">PSR!#REF!</definedName>
    <definedName name="外部資料_5" localSheetId="2">紅綠燈!#REF!</definedName>
    <definedName name="外部資料_5" localSheetId="3">評比系統!#REF!</definedName>
    <definedName name="外部資料_5" localSheetId="17">福邦!#REF!</definedName>
    <definedName name="外部資料_5" localSheetId="4">篩股系統!#REF!</definedName>
    <definedName name="外部資料_5" localSheetId="6">營收搶先報!#REF!</definedName>
    <definedName name="外部資料_50" localSheetId="14">PKA!#REF!</definedName>
    <definedName name="外部資料_50" localSheetId="15">PKB!#REF!</definedName>
    <definedName name="外部資料_50" localSheetId="16">PKC!#REF!</definedName>
    <definedName name="外部資料_50" localSheetId="7">PSR!#REF!</definedName>
    <definedName name="外部資料_50" localSheetId="3">評比系統!#REF!</definedName>
    <definedName name="外部資料_50" localSheetId="17">福邦!#REF!</definedName>
    <definedName name="外部資料_50" localSheetId="6">營收搶先報!#REF!</definedName>
    <definedName name="外部資料_500" localSheetId="14">PKA!#REF!</definedName>
    <definedName name="外部資料_500" localSheetId="15">PKB!#REF!</definedName>
    <definedName name="外部資料_500" localSheetId="16">PKC!#REF!</definedName>
    <definedName name="外部資料_500" localSheetId="2">紅綠燈!#REF!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4">PKA!#REF!</definedName>
    <definedName name="外部資料_501" localSheetId="15">PKB!#REF!</definedName>
    <definedName name="外部資料_501" localSheetId="16">PKC!#REF!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4">PKA!#REF!</definedName>
    <definedName name="外部資料_502" localSheetId="15">PKB!#REF!</definedName>
    <definedName name="外部資料_502" localSheetId="16">PKC!#REF!</definedName>
    <definedName name="外部資料_502" localSheetId="2">紅綠燈!#REF!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4">PKA!#REF!</definedName>
    <definedName name="外部資料_503" localSheetId="15">PKB!#REF!</definedName>
    <definedName name="外部資料_503" localSheetId="16">PKC!#REF!</definedName>
    <definedName name="外部資料_503" localSheetId="2">紅綠燈!#REF!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4">PKA!#REF!</definedName>
    <definedName name="外部資料_504" localSheetId="15">PKB!#REF!</definedName>
    <definedName name="外部資料_504" localSheetId="16">PKC!#REF!</definedName>
    <definedName name="外部資料_504" localSheetId="2">紅綠燈!#REF!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4">PKA!#REF!</definedName>
    <definedName name="外部資料_505" localSheetId="15">PKB!#REF!</definedName>
    <definedName name="外部資料_505" localSheetId="16">PKC!#REF!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4">PKA!#REF!</definedName>
    <definedName name="外部資料_506" localSheetId="15">PKB!#REF!</definedName>
    <definedName name="外部資料_506" localSheetId="16">PKC!#REF!</definedName>
    <definedName name="外部資料_506" localSheetId="2">紅綠燈!#REF!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4">PKA!#REF!</definedName>
    <definedName name="外部資料_507" localSheetId="15">PKB!#REF!</definedName>
    <definedName name="外部資料_507" localSheetId="16">PKC!#REF!</definedName>
    <definedName name="外部資料_507" localSheetId="2">紅綠燈!#REF!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4">PKA!#REF!</definedName>
    <definedName name="外部資料_508" localSheetId="15">PKB!#REF!</definedName>
    <definedName name="外部資料_508" localSheetId="16">PKC!#REF!</definedName>
    <definedName name="外部資料_508" localSheetId="2">紅綠燈!#REF!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4">PKA!#REF!</definedName>
    <definedName name="外部資料_509" localSheetId="15">PKB!#REF!</definedName>
    <definedName name="外部資料_509" localSheetId="16">PKC!#REF!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4">PKA!#REF!</definedName>
    <definedName name="外部資料_51" localSheetId="15">PKB!#REF!</definedName>
    <definedName name="外部資料_51" localSheetId="16">PKC!#REF!</definedName>
    <definedName name="外部資料_51" localSheetId="7">PSR!#REF!</definedName>
    <definedName name="外部資料_51" localSheetId="2">紅綠燈!#REF!</definedName>
    <definedName name="外部資料_51" localSheetId="3">評比系統!$T$1:$T$33</definedName>
    <definedName name="外部資料_51" localSheetId="17">福邦!#REF!</definedName>
    <definedName name="外部資料_51" localSheetId="6">營收搶先報!#REF!</definedName>
    <definedName name="外部資料_510" localSheetId="14">PKA!#REF!</definedName>
    <definedName name="外部資料_510" localSheetId="15">PKB!#REF!</definedName>
    <definedName name="外部資料_510" localSheetId="16">PKC!#REF!</definedName>
    <definedName name="外部資料_510" localSheetId="2">紅綠燈!#REF!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4">PKA!#REF!</definedName>
    <definedName name="外部資料_511" localSheetId="15">PKB!#REF!</definedName>
    <definedName name="外部資料_511" localSheetId="16">PKC!#REF!</definedName>
    <definedName name="外部資料_511" localSheetId="2">紅綠燈!#REF!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4">PKA!#REF!</definedName>
    <definedName name="外部資料_512" localSheetId="15">PKB!#REF!</definedName>
    <definedName name="外部資料_512" localSheetId="16">PKC!#REF!</definedName>
    <definedName name="外部資料_512" localSheetId="2">紅綠燈!#REF!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4">PKA!#REF!</definedName>
    <definedName name="外部資料_513" localSheetId="15">PKB!#REF!</definedName>
    <definedName name="外部資料_513" localSheetId="16">PKC!#REF!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4">PKA!#REF!</definedName>
    <definedName name="外部資料_514" localSheetId="15">PKB!#REF!</definedName>
    <definedName name="外部資料_514" localSheetId="16">PKC!#REF!</definedName>
    <definedName name="外部資料_514" localSheetId="2">紅綠燈!#REF!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4">PKA!#REF!</definedName>
    <definedName name="外部資料_515" localSheetId="15">PKB!#REF!</definedName>
    <definedName name="外部資料_515" localSheetId="16">PKC!#REF!</definedName>
    <definedName name="外部資料_515" localSheetId="2">紅綠燈!#REF!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4">PKA!#REF!</definedName>
    <definedName name="外部資料_516" localSheetId="15">PKB!#REF!</definedName>
    <definedName name="外部資料_516" localSheetId="16">PKC!#REF!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4">PKA!#REF!</definedName>
    <definedName name="外部資料_517" localSheetId="15">PKB!#REF!</definedName>
    <definedName name="外部資料_517" localSheetId="16">PKC!#REF!</definedName>
    <definedName name="外部資料_517" localSheetId="2">紅綠燈!#REF!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4">PKA!#REF!</definedName>
    <definedName name="外部資料_518" localSheetId="15">PKB!#REF!</definedName>
    <definedName name="外部資料_518" localSheetId="16">PKC!#REF!</definedName>
    <definedName name="外部資料_518" localSheetId="2">紅綠燈!#REF!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4">PKA!#REF!</definedName>
    <definedName name="外部資料_519" localSheetId="15">PKB!#REF!</definedName>
    <definedName name="外部資料_519" localSheetId="16">PKC!#REF!</definedName>
    <definedName name="外部資料_519" localSheetId="2">紅綠燈!#REF!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4">PKA!#REF!</definedName>
    <definedName name="外部資料_52" localSheetId="15">PKB!#REF!</definedName>
    <definedName name="外部資料_52" localSheetId="16">PKC!#REF!</definedName>
    <definedName name="外部資料_52" localSheetId="7">PSR!#REF!</definedName>
    <definedName name="外部資料_52" localSheetId="2">紅綠燈!#REF!</definedName>
    <definedName name="外部資料_52" localSheetId="3">評比系統!$T$1:$T$33</definedName>
    <definedName name="外部資料_52" localSheetId="17">福邦!#REF!</definedName>
    <definedName name="外部資料_52" localSheetId="6">營收搶先報!#REF!</definedName>
    <definedName name="外部資料_520" localSheetId="14">PKA!#REF!</definedName>
    <definedName name="外部資料_520" localSheetId="15">PKB!#REF!</definedName>
    <definedName name="外部資料_520" localSheetId="16">PKC!#REF!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4">PKA!#REF!</definedName>
    <definedName name="外部資料_521" localSheetId="15">PKB!#REF!</definedName>
    <definedName name="外部資料_521" localSheetId="16">PKC!#REF!</definedName>
    <definedName name="外部資料_521" localSheetId="2">紅綠燈!#REF!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4">PKA!#REF!</definedName>
    <definedName name="外部資料_522" localSheetId="15">PKB!#REF!</definedName>
    <definedName name="外部資料_522" localSheetId="16">PKC!#REF!</definedName>
    <definedName name="外部資料_522" localSheetId="2">紅綠燈!#REF!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4">PKA!#REF!</definedName>
    <definedName name="外部資料_523" localSheetId="15">PKB!#REF!</definedName>
    <definedName name="外部資料_523" localSheetId="16">PKC!#REF!</definedName>
    <definedName name="外部資料_523" localSheetId="2">紅綠燈!#REF!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4">PKA!#REF!</definedName>
    <definedName name="外部資料_524" localSheetId="15">PKB!#REF!</definedName>
    <definedName name="外部資料_524" localSheetId="16">PKC!#REF!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4">PKA!#REF!</definedName>
    <definedName name="外部資料_525" localSheetId="15">PKB!#REF!</definedName>
    <definedName name="外部資料_525" localSheetId="16">PKC!#REF!</definedName>
    <definedName name="外部資料_525" localSheetId="2">紅綠燈!#REF!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4">PKA!#REF!</definedName>
    <definedName name="外部資料_526" localSheetId="15">PKB!#REF!</definedName>
    <definedName name="外部資料_526" localSheetId="16">PKC!#REF!</definedName>
    <definedName name="外部資料_526" localSheetId="2">紅綠燈!#REF!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4">PKA!#REF!</definedName>
    <definedName name="外部資料_527" localSheetId="15">PKB!#REF!</definedName>
    <definedName name="外部資料_527" localSheetId="16">PKC!#REF!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4">PKA!#REF!</definedName>
    <definedName name="外部資料_528" localSheetId="15">PKB!#REF!</definedName>
    <definedName name="外部資料_528" localSheetId="16">PKC!#REF!</definedName>
    <definedName name="外部資料_528" localSheetId="2">紅綠燈!#REF!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4">PKA!#REF!</definedName>
    <definedName name="外部資料_529" localSheetId="15">PKB!#REF!</definedName>
    <definedName name="外部資料_529" localSheetId="16">PKC!#REF!</definedName>
    <definedName name="外部資料_529" localSheetId="2">紅綠燈!#REF!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4">PKA!#REF!</definedName>
    <definedName name="外部資料_53" localSheetId="15">PKB!#REF!</definedName>
    <definedName name="外部資料_53" localSheetId="16">PKC!#REF!</definedName>
    <definedName name="外部資料_53" localSheetId="7">PSR!#REF!</definedName>
    <definedName name="外部資料_53" localSheetId="2">紅綠燈!#REF!</definedName>
    <definedName name="外部資料_53" localSheetId="3">評比系統!$T$1:$T$33</definedName>
    <definedName name="外部資料_53" localSheetId="17">福邦!#REF!</definedName>
    <definedName name="外部資料_53" localSheetId="6">營收搶先報!#REF!</definedName>
    <definedName name="外部資料_530" localSheetId="14">PKA!#REF!</definedName>
    <definedName name="外部資料_530" localSheetId="15">PKB!#REF!</definedName>
    <definedName name="外部資料_530" localSheetId="16">PKC!#REF!</definedName>
    <definedName name="外部資料_530" localSheetId="2">紅綠燈!#REF!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4">PKA!#REF!</definedName>
    <definedName name="外部資料_531" localSheetId="15">PKB!#REF!</definedName>
    <definedName name="外部資料_531" localSheetId="16">PKC!#REF!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4">PKA!#REF!</definedName>
    <definedName name="外部資料_532" localSheetId="15">PKB!#REF!</definedName>
    <definedName name="外部資料_532" localSheetId="16">PKC!#REF!</definedName>
    <definedName name="外部資料_532" localSheetId="2">紅綠燈!#REF!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4">PKA!#REF!</definedName>
    <definedName name="外部資料_533" localSheetId="15">PKB!#REF!</definedName>
    <definedName name="外部資料_533" localSheetId="16">PKC!#REF!</definedName>
    <definedName name="外部資料_533" localSheetId="2">紅綠燈!#REF!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4">PKA!#REF!</definedName>
    <definedName name="外部資料_534" localSheetId="15">PKB!#REF!</definedName>
    <definedName name="外部資料_534" localSheetId="16">PKC!#REF!</definedName>
    <definedName name="外部資料_534" localSheetId="2">紅綠燈!#REF!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4">PKA!#REF!</definedName>
    <definedName name="外部資料_535" localSheetId="15">PKB!#REF!</definedName>
    <definedName name="外部資料_535" localSheetId="16">PKC!#REF!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4">PKA!#REF!</definedName>
    <definedName name="外部資料_536" localSheetId="15">PKB!#REF!</definedName>
    <definedName name="外部資料_536" localSheetId="16">PKC!#REF!</definedName>
    <definedName name="外部資料_536" localSheetId="2">紅綠燈!#REF!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4">PKA!#REF!</definedName>
    <definedName name="外部資料_537" localSheetId="15">PKB!#REF!</definedName>
    <definedName name="外部資料_537" localSheetId="16">PKC!#REF!</definedName>
    <definedName name="外部資料_537" localSheetId="2">紅綠燈!#REF!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4">PKA!#REF!</definedName>
    <definedName name="外部資料_538" localSheetId="15">PKB!#REF!</definedName>
    <definedName name="外部資料_538" localSheetId="16">PKC!#REF!</definedName>
    <definedName name="外部資料_538" localSheetId="2">紅綠燈!#REF!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4">PKA!#REF!</definedName>
    <definedName name="外部資料_539" localSheetId="15">PKB!#REF!</definedName>
    <definedName name="外部資料_539" localSheetId="16">PKC!#REF!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4">PKA!#REF!</definedName>
    <definedName name="外部資料_54" localSheetId="15">PKB!#REF!</definedName>
    <definedName name="外部資料_54" localSheetId="16">PKC!#REF!</definedName>
    <definedName name="外部資料_54" localSheetId="7">PSR!#REF!</definedName>
    <definedName name="外部資料_54" localSheetId="2">紅綠燈!#REF!</definedName>
    <definedName name="外部資料_54" localSheetId="3">評比系統!$T$1:$T$33</definedName>
    <definedName name="外部資料_54" localSheetId="17">福邦!#REF!</definedName>
    <definedName name="外部資料_54" localSheetId="6">營收搶先報!#REF!</definedName>
    <definedName name="外部資料_540" localSheetId="14">PKA!#REF!</definedName>
    <definedName name="外部資料_540" localSheetId="15">PKB!#REF!</definedName>
    <definedName name="外部資料_540" localSheetId="16">PKC!#REF!</definedName>
    <definedName name="外部資料_540" localSheetId="2">紅綠燈!#REF!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4">PKA!#REF!</definedName>
    <definedName name="外部資料_541" localSheetId="15">PKB!#REF!</definedName>
    <definedName name="外部資料_541" localSheetId="16">PKC!#REF!</definedName>
    <definedName name="外部資料_541" localSheetId="2">紅綠燈!#REF!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4">PKA!#REF!</definedName>
    <definedName name="外部資料_542" localSheetId="15">PKB!#REF!</definedName>
    <definedName name="外部資料_542" localSheetId="16">PKC!#REF!</definedName>
    <definedName name="外部資料_542" localSheetId="2">紅綠燈!#REF!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4">PKA!#REF!</definedName>
    <definedName name="外部資料_543" localSheetId="15">PKB!#REF!</definedName>
    <definedName name="外部資料_543" localSheetId="16">PKC!#REF!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4">PKA!#REF!</definedName>
    <definedName name="外部資料_544" localSheetId="15">PKB!#REF!</definedName>
    <definedName name="外部資料_544" localSheetId="16">PKC!#REF!</definedName>
    <definedName name="外部資料_544" localSheetId="2">紅綠燈!#REF!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4">PKA!#REF!</definedName>
    <definedName name="外部資料_545" localSheetId="15">PKB!#REF!</definedName>
    <definedName name="外部資料_545" localSheetId="16">PKC!#REF!</definedName>
    <definedName name="外部資料_545" localSheetId="2">紅綠燈!#REF!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4">PKA!#REF!</definedName>
    <definedName name="外部資料_546" localSheetId="15">PKB!#REF!</definedName>
    <definedName name="外部資料_546" localSheetId="16">PKC!#REF!</definedName>
    <definedName name="外部資料_546" localSheetId="2">紅綠燈!#REF!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4">PKA!#REF!</definedName>
    <definedName name="外部資料_547" localSheetId="15">PKB!#REF!</definedName>
    <definedName name="外部資料_547" localSheetId="16">PKC!#REF!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4">PKA!#REF!</definedName>
    <definedName name="外部資料_548" localSheetId="15">PKB!#REF!</definedName>
    <definedName name="外部資料_548" localSheetId="16">PKC!#REF!</definedName>
    <definedName name="外部資料_548" localSheetId="2">紅綠燈!#REF!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4">PKA!#REF!</definedName>
    <definedName name="外部資料_549" localSheetId="15">PKB!#REF!</definedName>
    <definedName name="外部資料_549" localSheetId="16">PKC!#REF!</definedName>
    <definedName name="外部資料_549" localSheetId="2">紅綠燈!#REF!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4">PKA!#REF!</definedName>
    <definedName name="外部資料_55" localSheetId="15">PKB!#REF!</definedName>
    <definedName name="外部資料_55" localSheetId="16">PKC!#REF!</definedName>
    <definedName name="外部資料_55" localSheetId="7">PSR!#REF!</definedName>
    <definedName name="外部資料_55" localSheetId="2">紅綠燈!#REF!</definedName>
    <definedName name="外部資料_55" localSheetId="3">評比系統!$T$1:$T$33</definedName>
    <definedName name="外部資料_55" localSheetId="17">福邦!#REF!</definedName>
    <definedName name="外部資料_55" localSheetId="6">營收搶先報!#REF!</definedName>
    <definedName name="外部資料_550" localSheetId="14">PKA!#REF!</definedName>
    <definedName name="外部資料_550" localSheetId="15">PKB!#REF!</definedName>
    <definedName name="外部資料_550" localSheetId="16">PKC!#REF!</definedName>
    <definedName name="外部資料_550" localSheetId="2">紅綠燈!#REF!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4">PKA!#REF!</definedName>
    <definedName name="外部資料_551" localSheetId="15">PKB!#REF!</definedName>
    <definedName name="外部資料_551" localSheetId="16">PKC!#REF!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4">PKA!#REF!</definedName>
    <definedName name="外部資料_552" localSheetId="15">PKB!#REF!</definedName>
    <definedName name="外部資料_552" localSheetId="16">PKC!#REF!</definedName>
    <definedName name="外部資料_552" localSheetId="2">紅綠燈!#REF!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4">PKA!#REF!</definedName>
    <definedName name="外部資料_553" localSheetId="15">PKB!#REF!</definedName>
    <definedName name="外部資料_553" localSheetId="16">PKC!#REF!</definedName>
    <definedName name="外部資料_553" localSheetId="2">紅綠燈!#REF!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4">PKA!#REF!</definedName>
    <definedName name="外部資料_554" localSheetId="15">PKB!#REF!</definedName>
    <definedName name="外部資料_554" localSheetId="16">PKC!#REF!</definedName>
    <definedName name="外部資料_554" localSheetId="2">紅綠燈!#REF!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4">PKA!#REF!</definedName>
    <definedName name="外部資料_555" localSheetId="15">PKB!#REF!</definedName>
    <definedName name="外部資料_555" localSheetId="16">PKC!#REF!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4">PKA!#REF!</definedName>
    <definedName name="外部資料_556" localSheetId="15">PKB!#REF!</definedName>
    <definedName name="外部資料_556" localSheetId="16">PKC!#REF!</definedName>
    <definedName name="外部資料_556" localSheetId="2">紅綠燈!#REF!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4">PKA!#REF!</definedName>
    <definedName name="外部資料_557" localSheetId="15">PKB!#REF!</definedName>
    <definedName name="外部資料_557" localSheetId="16">PKC!#REF!</definedName>
    <definedName name="外部資料_557" localSheetId="2">紅綠燈!#REF!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4">PKA!#REF!</definedName>
    <definedName name="外部資料_558" localSheetId="15">PKB!#REF!</definedName>
    <definedName name="外部資料_558" localSheetId="16">PKC!#REF!</definedName>
    <definedName name="外部資料_558" localSheetId="2">紅綠燈!#REF!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4">PKA!#REF!</definedName>
    <definedName name="外部資料_559" localSheetId="15">PKB!#REF!</definedName>
    <definedName name="外部資料_559" localSheetId="16">PKC!#REF!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4">PKA!#REF!</definedName>
    <definedName name="外部資料_56" localSheetId="15">PKB!#REF!</definedName>
    <definedName name="外部資料_56" localSheetId="16">PKC!#REF!</definedName>
    <definedName name="外部資料_56" localSheetId="7">PSR!#REF!</definedName>
    <definedName name="外部資料_56" localSheetId="2">紅綠燈!#REF!</definedName>
    <definedName name="外部資料_56" localSheetId="3">評比系統!$T$1:$T$33</definedName>
    <definedName name="外部資料_56" localSheetId="17">福邦!#REF!</definedName>
    <definedName name="外部資料_56" localSheetId="6">營收搶先報!#REF!</definedName>
    <definedName name="外部資料_560" localSheetId="14">PKA!#REF!</definedName>
    <definedName name="外部資料_560" localSheetId="15">PKB!#REF!</definedName>
    <definedName name="外部資料_560" localSheetId="16">PKC!#REF!</definedName>
    <definedName name="外部資料_560" localSheetId="2">紅綠燈!#REF!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4">PKA!#REF!</definedName>
    <definedName name="外部資料_561" localSheetId="15">PKB!#REF!</definedName>
    <definedName name="外部資料_561" localSheetId="16">PKC!#REF!</definedName>
    <definedName name="外部資料_561" localSheetId="2">紅綠燈!#REF!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4">PKA!#REF!</definedName>
    <definedName name="外部資料_562" localSheetId="15">PKB!#REF!</definedName>
    <definedName name="外部資料_562" localSheetId="16">PKC!#REF!</definedName>
    <definedName name="外部資料_562" localSheetId="2">紅綠燈!#REF!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4">PKA!#REF!</definedName>
    <definedName name="外部資料_563" localSheetId="15">PKB!#REF!</definedName>
    <definedName name="外部資料_563" localSheetId="16">PKC!#REF!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4">PKA!#REF!</definedName>
    <definedName name="外部資料_564" localSheetId="15">PKB!#REF!</definedName>
    <definedName name="外部資料_564" localSheetId="16">PKC!#REF!</definedName>
    <definedName name="外部資料_564" localSheetId="2">紅綠燈!#REF!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4">PKA!#REF!</definedName>
    <definedName name="外部資料_565" localSheetId="15">PKB!#REF!</definedName>
    <definedName name="外部資料_565" localSheetId="16">PKC!#REF!</definedName>
    <definedName name="外部資料_565" localSheetId="2">紅綠燈!#REF!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4">PKA!#REF!</definedName>
    <definedName name="外部資料_566" localSheetId="15">PKB!#REF!</definedName>
    <definedName name="外部資料_566" localSheetId="16">PKC!#REF!</definedName>
    <definedName name="外部資料_566" localSheetId="2">紅綠燈!#REF!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4">PKA!#REF!</definedName>
    <definedName name="外部資料_567" localSheetId="15">PKB!#REF!</definedName>
    <definedName name="外部資料_567" localSheetId="16">PKC!#REF!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4">PKA!#REF!</definedName>
    <definedName name="外部資料_568" localSheetId="15">PKB!#REF!</definedName>
    <definedName name="外部資料_568" localSheetId="16">PKC!#REF!</definedName>
    <definedName name="外部資料_568" localSheetId="2">紅綠燈!#REF!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4">PKA!#REF!</definedName>
    <definedName name="外部資料_569" localSheetId="15">PKB!#REF!</definedName>
    <definedName name="外部資料_569" localSheetId="16">PKC!#REF!</definedName>
    <definedName name="外部資料_569" localSheetId="2">紅綠燈!#REF!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4">PKA!#REF!</definedName>
    <definedName name="外部資料_57" localSheetId="15">PKB!#REF!</definedName>
    <definedName name="外部資料_57" localSheetId="16">PKC!#REF!</definedName>
    <definedName name="外部資料_57" localSheetId="7">PSR!#REF!</definedName>
    <definedName name="外部資料_57" localSheetId="2">紅綠燈!#REF!</definedName>
    <definedName name="外部資料_57" localSheetId="3">評比系統!$T$1:$T$33</definedName>
    <definedName name="外部資料_57" localSheetId="17">福邦!#REF!</definedName>
    <definedName name="外部資料_57" localSheetId="6">營收搶先報!#REF!</definedName>
    <definedName name="外部資料_570" localSheetId="14">PKA!#REF!</definedName>
    <definedName name="外部資料_570" localSheetId="15">PKB!#REF!</definedName>
    <definedName name="外部資料_570" localSheetId="16">PKC!#REF!</definedName>
    <definedName name="外部資料_570" localSheetId="2">紅綠燈!#REF!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4">PKA!#REF!</definedName>
    <definedName name="外部資料_571" localSheetId="15">PKB!#REF!</definedName>
    <definedName name="外部資料_571" localSheetId="16">PKC!#REF!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4">PKA!#REF!</definedName>
    <definedName name="外部資料_572" localSheetId="15">PKB!#REF!</definedName>
    <definedName name="外部資料_572" localSheetId="16">PKC!#REF!</definedName>
    <definedName name="外部資料_572" localSheetId="2">紅綠燈!#REF!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4">PKA!#REF!</definedName>
    <definedName name="外部資料_573" localSheetId="15">PKB!#REF!</definedName>
    <definedName name="外部資料_573" localSheetId="16">PKC!#REF!</definedName>
    <definedName name="外部資料_573" localSheetId="2">紅綠燈!#REF!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4">PKA!#REF!</definedName>
    <definedName name="外部資料_574" localSheetId="15">PKB!#REF!</definedName>
    <definedName name="外部資料_574" localSheetId="16">PKC!#REF!</definedName>
    <definedName name="外部資料_574" localSheetId="2">紅綠燈!#REF!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4">PKA!#REF!</definedName>
    <definedName name="外部資料_575" localSheetId="15">PKB!#REF!</definedName>
    <definedName name="外部資料_575" localSheetId="16">PKC!#REF!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4">PKA!#REF!</definedName>
    <definedName name="外部資料_576" localSheetId="15">PKB!#REF!</definedName>
    <definedName name="外部資料_576" localSheetId="16">PKC!#REF!</definedName>
    <definedName name="外部資料_576" localSheetId="2">紅綠燈!#REF!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4">PKA!#REF!</definedName>
    <definedName name="外部資料_577" localSheetId="15">PKB!#REF!</definedName>
    <definedName name="外部資料_577" localSheetId="16">PKC!#REF!</definedName>
    <definedName name="外部資料_577" localSheetId="2">紅綠燈!#REF!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4">PKA!#REF!</definedName>
    <definedName name="外部資料_578" localSheetId="15">PKB!#REF!</definedName>
    <definedName name="外部資料_578" localSheetId="16">PKC!#REF!</definedName>
    <definedName name="外部資料_578" localSheetId="2">紅綠燈!#REF!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4">PKA!#REF!</definedName>
    <definedName name="外部資料_579" localSheetId="15">PKB!#REF!</definedName>
    <definedName name="外部資料_579" localSheetId="16">PKC!#REF!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4">PKA!#REF!</definedName>
    <definedName name="外部資料_58" localSheetId="15">PKB!#REF!</definedName>
    <definedName name="外部資料_58" localSheetId="16">PKC!#REF!</definedName>
    <definedName name="外部資料_58" localSheetId="7">PSR!#REF!</definedName>
    <definedName name="外部資料_58" localSheetId="2">紅綠燈!#REF!</definedName>
    <definedName name="外部資料_58" localSheetId="3">評比系統!$T$1:$T$33</definedName>
    <definedName name="外部資料_58" localSheetId="17">福邦!#REF!</definedName>
    <definedName name="外部資料_58" localSheetId="6">營收搶先報!#REF!</definedName>
    <definedName name="外部資料_580" localSheetId="14">PKA!#REF!</definedName>
    <definedName name="外部資料_580" localSheetId="15">PKB!#REF!</definedName>
    <definedName name="外部資料_580" localSheetId="16">PKC!#REF!</definedName>
    <definedName name="外部資料_580" localSheetId="2">紅綠燈!#REF!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4">PKA!#REF!</definedName>
    <definedName name="外部資料_581" localSheetId="15">PKB!#REF!</definedName>
    <definedName name="外部資料_581" localSheetId="16">PKC!#REF!</definedName>
    <definedName name="外部資料_581" localSheetId="2">紅綠燈!#REF!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4">PKA!#REF!</definedName>
    <definedName name="外部資料_582" localSheetId="15">PKB!#REF!</definedName>
    <definedName name="外部資料_582" localSheetId="16">PKC!#REF!</definedName>
    <definedName name="外部資料_582" localSheetId="2">紅綠燈!#REF!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4">PKA!#REF!</definedName>
    <definedName name="外部資料_583" localSheetId="15">PKB!#REF!</definedName>
    <definedName name="外部資料_583" localSheetId="16">PKC!#REF!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4">PKA!#REF!</definedName>
    <definedName name="外部資料_584" localSheetId="15">PKB!#REF!</definedName>
    <definedName name="外部資料_584" localSheetId="16">PKC!#REF!</definedName>
    <definedName name="外部資料_584" localSheetId="2">紅綠燈!#REF!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4">PKA!#REF!</definedName>
    <definedName name="外部資料_585" localSheetId="15">PKB!#REF!</definedName>
    <definedName name="外部資料_585" localSheetId="16">PKC!#REF!</definedName>
    <definedName name="外部資料_585" localSheetId="2">紅綠燈!#REF!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4">PKA!#REF!</definedName>
    <definedName name="外部資料_586" localSheetId="15">PKB!#REF!</definedName>
    <definedName name="外部資料_586" localSheetId="16">PKC!#REF!</definedName>
    <definedName name="外部資料_586" localSheetId="2">紅綠燈!#REF!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4">PKA!#REF!</definedName>
    <definedName name="外部資料_587" localSheetId="15">PKB!#REF!</definedName>
    <definedName name="外部資料_587" localSheetId="16">PKC!#REF!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4">PKA!#REF!</definedName>
    <definedName name="外部資料_588" localSheetId="15">PKB!#REF!</definedName>
    <definedName name="外部資料_588" localSheetId="16">PKC!#REF!</definedName>
    <definedName name="外部資料_588" localSheetId="2">紅綠燈!#REF!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4">PKA!#REF!</definedName>
    <definedName name="外部資料_589" localSheetId="15">PKB!#REF!</definedName>
    <definedName name="外部資料_589" localSheetId="16">PKC!$A$1:$K$65</definedName>
    <definedName name="外部資料_589" localSheetId="2">紅綠燈!#REF!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4">PKA!#REF!</definedName>
    <definedName name="外部資料_59" localSheetId="15">PKB!#REF!</definedName>
    <definedName name="外部資料_59" localSheetId="16">PKC!#REF!</definedName>
    <definedName name="外部資料_59" localSheetId="7">PSR!#REF!</definedName>
    <definedName name="外部資料_59" localSheetId="3">評比系統!$T$1:$T$33</definedName>
    <definedName name="外部資料_59" localSheetId="17">福邦!#REF!</definedName>
    <definedName name="外部資料_59" localSheetId="6">營收搶先報!#REF!</definedName>
    <definedName name="外部資料_590" localSheetId="14">PKA!#REF!</definedName>
    <definedName name="外部資料_590" localSheetId="15">PKB!#REF!</definedName>
    <definedName name="外部資料_590" localSheetId="16">PKC!$A$100:$K$160</definedName>
    <definedName name="外部資料_590" localSheetId="2">紅綠燈!#REF!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4">PKA!#REF!</definedName>
    <definedName name="外部資料_591" localSheetId="15">PKB!#REF!</definedName>
    <definedName name="外部資料_591" localSheetId="16">PKC!$A$200:$K$247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4">PKA!#REF!</definedName>
    <definedName name="外部資料_592" localSheetId="15">PKB!#REF!</definedName>
    <definedName name="外部資料_592" localSheetId="2">紅綠燈!#REF!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4">PKA!#REF!</definedName>
    <definedName name="外部資料_593" localSheetId="15">PKB!#REF!</definedName>
    <definedName name="外部資料_593" localSheetId="2">紅綠燈!#REF!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4">PKA!#REF!</definedName>
    <definedName name="外部資料_594" localSheetId="15">PKB!#REF!</definedName>
    <definedName name="外部資料_594" localSheetId="2">紅綠燈!#REF!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4">PKA!#REF!</definedName>
    <definedName name="外部資料_595" localSheetId="15">PKB!#REF!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4">PKA!#REF!</definedName>
    <definedName name="外部資料_596" localSheetId="15">PKB!#REF!</definedName>
    <definedName name="外部資料_596" localSheetId="2">紅綠燈!#REF!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4">PKA!#REF!</definedName>
    <definedName name="外部資料_597" localSheetId="15">PKB!#REF!</definedName>
    <definedName name="外部資料_597" localSheetId="2">紅綠燈!#REF!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4">PKA!#REF!</definedName>
    <definedName name="外部資料_598" localSheetId="15">PKB!#REF!</definedName>
    <definedName name="外部資料_598" localSheetId="2">紅綠燈!#REF!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4">PKA!#REF!</definedName>
    <definedName name="外部資料_599" localSheetId="15">PKB!#REF!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4">PKA!#REF!</definedName>
    <definedName name="外部資料_6" localSheetId="15">PKB!#REF!</definedName>
    <definedName name="外部資料_6" localSheetId="16">PKC!#REF!</definedName>
    <definedName name="外部資料_6" localSheetId="7">PSR!#REF!</definedName>
    <definedName name="外部資料_6" localSheetId="2">紅綠燈!#REF!</definedName>
    <definedName name="外部資料_6" localSheetId="3">評比系統!#REF!</definedName>
    <definedName name="外部資料_6" localSheetId="17">福邦!#REF!</definedName>
    <definedName name="外部資料_6" localSheetId="4">篩股系統!#REF!</definedName>
    <definedName name="外部資料_6" localSheetId="6">營收搶先報!#REF!</definedName>
    <definedName name="外部資料_60" localSheetId="14">PKA!#REF!</definedName>
    <definedName name="外部資料_60" localSheetId="15">PKB!#REF!</definedName>
    <definedName name="外部資料_60" localSheetId="16">PKC!#REF!</definedName>
    <definedName name="外部資料_60" localSheetId="7">PSR!#REF!</definedName>
    <definedName name="外部資料_60" localSheetId="2">紅綠燈!#REF!</definedName>
    <definedName name="外部資料_60" localSheetId="3">評比系統!$T$1:$T$33</definedName>
    <definedName name="外部資料_60" localSheetId="17">福邦!#REF!</definedName>
    <definedName name="外部資料_60" localSheetId="6">營收搶先報!#REF!</definedName>
    <definedName name="外部資料_600" localSheetId="14">PKA!#REF!</definedName>
    <definedName name="外部資料_600" localSheetId="15">PKB!#REF!</definedName>
    <definedName name="外部資料_600" localSheetId="2">紅綠燈!#REF!</definedName>
    <definedName name="外部資料_601" localSheetId="14">PKA!#REF!</definedName>
    <definedName name="外部資料_601" localSheetId="15">PKB!#REF!</definedName>
    <definedName name="外部資料_601" localSheetId="2">紅綠燈!#REF!</definedName>
    <definedName name="外部資料_602" localSheetId="14">PKA!#REF!</definedName>
    <definedName name="外部資料_602" localSheetId="15">PKB!#REF!</definedName>
    <definedName name="外部資料_603" localSheetId="14">PKA!#REF!</definedName>
    <definedName name="外部資料_603" localSheetId="15">PKB!#REF!</definedName>
    <definedName name="外部資料_603" localSheetId="2">紅綠燈!#REF!</definedName>
    <definedName name="外部資料_604" localSheetId="14">PKA!#REF!</definedName>
    <definedName name="外部資料_604" localSheetId="15">PKB!#REF!</definedName>
    <definedName name="外部資料_604" localSheetId="2">紅綠燈!#REF!</definedName>
    <definedName name="外部資料_605" localSheetId="14">PKA!#REF!</definedName>
    <definedName name="外部資料_605" localSheetId="15">PKB!#REF!</definedName>
    <definedName name="外部資料_605" localSheetId="2">紅綠燈!#REF!</definedName>
    <definedName name="外部資料_606" localSheetId="14">PKA!#REF!</definedName>
    <definedName name="外部資料_606" localSheetId="15">PKB!#REF!</definedName>
    <definedName name="外部資料_607" localSheetId="14">PKA!#REF!</definedName>
    <definedName name="外部資料_607" localSheetId="15">PKB!#REF!</definedName>
    <definedName name="外部資料_607" localSheetId="2">紅綠燈!#REF!</definedName>
    <definedName name="外部資料_608" localSheetId="14">PKA!#REF!</definedName>
    <definedName name="外部資料_608" localSheetId="15">PKB!#REF!</definedName>
    <definedName name="外部資料_608" localSheetId="2">紅綠燈!#REF!</definedName>
    <definedName name="外部資料_609" localSheetId="14">PKA!#REF!</definedName>
    <definedName name="外部資料_609" localSheetId="15">PKB!#REF!</definedName>
    <definedName name="外部資料_609" localSheetId="2">紅綠燈!#REF!</definedName>
    <definedName name="外部資料_61" localSheetId="14">PKA!#REF!</definedName>
    <definedName name="外部資料_61" localSheetId="15">PKB!#REF!</definedName>
    <definedName name="外部資料_61" localSheetId="16">PKC!#REF!</definedName>
    <definedName name="外部資料_61" localSheetId="7">PSR!#REF!</definedName>
    <definedName name="外部資料_61" localSheetId="2">紅綠燈!#REF!</definedName>
    <definedName name="外部資料_61" localSheetId="3">評比系統!$T$1:$T$33</definedName>
    <definedName name="外部資料_61" localSheetId="17">福邦!#REF!</definedName>
    <definedName name="外部資料_61" localSheetId="6">營收搶先報!#REF!</definedName>
    <definedName name="外部資料_610" localSheetId="14">PKA!#REF!</definedName>
    <definedName name="外部資料_610" localSheetId="15">PKB!#REF!</definedName>
    <definedName name="外部資料_611" localSheetId="14">PKA!#REF!</definedName>
    <definedName name="外部資料_611" localSheetId="15">PKB!#REF!</definedName>
    <definedName name="外部資料_611" localSheetId="2">紅綠燈!#REF!</definedName>
    <definedName name="外部資料_612" localSheetId="14">PKA!#REF!</definedName>
    <definedName name="外部資料_612" localSheetId="15">PKB!#REF!</definedName>
    <definedName name="外部資料_612" localSheetId="2">紅綠燈!#REF!</definedName>
    <definedName name="外部資料_613" localSheetId="14">PKA!#REF!</definedName>
    <definedName name="外部資料_613" localSheetId="15">PKB!#REF!</definedName>
    <definedName name="外部資料_613" localSheetId="2">紅綠燈!#REF!</definedName>
    <definedName name="外部資料_614" localSheetId="14">PKA!#REF!</definedName>
    <definedName name="外部資料_614" localSheetId="15">PKB!#REF!</definedName>
    <definedName name="外部資料_615" localSheetId="14">PKA!#REF!</definedName>
    <definedName name="外部資料_615" localSheetId="15">PKB!#REF!</definedName>
    <definedName name="外部資料_615" localSheetId="2">紅綠燈!#REF!</definedName>
    <definedName name="外部資料_616" localSheetId="14">PKA!#REF!</definedName>
    <definedName name="外部資料_616" localSheetId="15">PKB!#REF!</definedName>
    <definedName name="外部資料_616" localSheetId="2">紅綠燈!#REF!</definedName>
    <definedName name="外部資料_617" localSheetId="14">PKA!#REF!</definedName>
    <definedName name="外部資料_617" localSheetId="15">PKB!#REF!</definedName>
    <definedName name="外部資料_617" localSheetId="2">紅綠燈!#REF!</definedName>
    <definedName name="外部資料_618" localSheetId="14">PKA!#REF!</definedName>
    <definedName name="外部資料_618" localSheetId="15">PKB!#REF!</definedName>
    <definedName name="外部資料_619" localSheetId="14">PKA!#REF!</definedName>
    <definedName name="外部資料_619" localSheetId="15">PKB!#REF!</definedName>
    <definedName name="外部資料_619" localSheetId="2">紅綠燈!#REF!</definedName>
    <definedName name="外部資料_62" localSheetId="14">PKA!#REF!</definedName>
    <definedName name="外部資料_62" localSheetId="15">PKB!#REF!</definedName>
    <definedName name="外部資料_62" localSheetId="16">PKC!#REF!</definedName>
    <definedName name="外部資料_62" localSheetId="7">PSR!#REF!</definedName>
    <definedName name="外部資料_62" localSheetId="2">紅綠燈!#REF!</definedName>
    <definedName name="外部資料_62" localSheetId="3">評比系統!$T$1:$T$33</definedName>
    <definedName name="外部資料_62" localSheetId="17">福邦!#REF!</definedName>
    <definedName name="外部資料_62" localSheetId="6">營收搶先報!#REF!</definedName>
    <definedName name="外部資料_620" localSheetId="14">PKA!#REF!</definedName>
    <definedName name="外部資料_620" localSheetId="15">PKB!#REF!</definedName>
    <definedName name="外部資料_620" localSheetId="2">紅綠燈!#REF!</definedName>
    <definedName name="外部資料_621" localSheetId="14">PKA!#REF!</definedName>
    <definedName name="外部資料_621" localSheetId="15">PKB!#REF!</definedName>
    <definedName name="外部資料_621" localSheetId="2">紅綠燈!#REF!</definedName>
    <definedName name="外部資料_622" localSheetId="14">PKA!#REF!</definedName>
    <definedName name="外部資料_622" localSheetId="15">PKB!#REF!</definedName>
    <definedName name="外部資料_623" localSheetId="14">PKA!#REF!</definedName>
    <definedName name="外部資料_623" localSheetId="15">PKB!#REF!</definedName>
    <definedName name="外部資料_623" localSheetId="2">紅綠燈!#REF!</definedName>
    <definedName name="外部資料_624" localSheetId="14">PKA!#REF!</definedName>
    <definedName name="外部資料_624" localSheetId="15">PKB!#REF!</definedName>
    <definedName name="外部資料_624" localSheetId="2">紅綠燈!#REF!</definedName>
    <definedName name="外部資料_625" localSheetId="14">PKA!#REF!</definedName>
    <definedName name="外部資料_625" localSheetId="15">PKB!#REF!</definedName>
    <definedName name="外部資料_625" localSheetId="2">紅綠燈!#REF!</definedName>
    <definedName name="外部資料_626" localSheetId="14">PKA!#REF!</definedName>
    <definedName name="外部資料_626" localSheetId="15">PKB!#REF!</definedName>
    <definedName name="外部資料_627" localSheetId="14">PKA!#REF!</definedName>
    <definedName name="外部資料_627" localSheetId="15">PKB!#REF!</definedName>
    <definedName name="外部資料_627" localSheetId="2">紅綠燈!#REF!</definedName>
    <definedName name="外部資料_628" localSheetId="14">PKA!#REF!</definedName>
    <definedName name="外部資料_628" localSheetId="15">PKB!#REF!</definedName>
    <definedName name="外部資料_628" localSheetId="2">紅綠燈!#REF!</definedName>
    <definedName name="外部資料_629" localSheetId="14">PKA!#REF!</definedName>
    <definedName name="外部資料_629" localSheetId="15">PKB!#REF!</definedName>
    <definedName name="外部資料_629" localSheetId="2">紅綠燈!#REF!</definedName>
    <definedName name="外部資料_63" localSheetId="14">PKA!#REF!</definedName>
    <definedName name="外部資料_63" localSheetId="15">PKB!#REF!</definedName>
    <definedName name="外部資料_63" localSheetId="16">PKC!#REF!</definedName>
    <definedName name="外部資料_63" localSheetId="7">PSR!#REF!</definedName>
    <definedName name="外部資料_63" localSheetId="3">評比系統!$T$1:$T$33</definedName>
    <definedName name="外部資料_63" localSheetId="17">福邦!#REF!</definedName>
    <definedName name="外部資料_63" localSheetId="6">營收搶先報!#REF!</definedName>
    <definedName name="外部資料_630" localSheetId="14">PKA!#REF!</definedName>
    <definedName name="外部資料_630" localSheetId="15">PKB!#REF!</definedName>
    <definedName name="外部資料_631" localSheetId="14">PKA!#REF!</definedName>
    <definedName name="外部資料_631" localSheetId="15">PKB!#REF!</definedName>
    <definedName name="外部資料_631" localSheetId="2">紅綠燈!#REF!</definedName>
    <definedName name="外部資料_632" localSheetId="14">PKA!#REF!</definedName>
    <definedName name="外部資料_632" localSheetId="15">PKB!#REF!</definedName>
    <definedName name="外部資料_632" localSheetId="2">紅綠燈!#REF!</definedName>
    <definedName name="外部資料_633" localSheetId="14">PKA!#REF!</definedName>
    <definedName name="外部資料_633" localSheetId="15">PKB!#REF!</definedName>
    <definedName name="外部資料_633" localSheetId="2">紅綠燈!#REF!</definedName>
    <definedName name="外部資料_634" localSheetId="14">PKA!#REF!</definedName>
    <definedName name="外部資料_634" localSheetId="15">PKB!#REF!</definedName>
    <definedName name="外部資料_635" localSheetId="14">PKA!#REF!</definedName>
    <definedName name="外部資料_635" localSheetId="15">PKB!#REF!</definedName>
    <definedName name="外部資料_635" localSheetId="2">紅綠燈!#REF!</definedName>
    <definedName name="外部資料_636" localSheetId="14">PKA!#REF!</definedName>
    <definedName name="外部資料_636" localSheetId="15">PKB!#REF!</definedName>
    <definedName name="外部資料_636" localSheetId="2">紅綠燈!#REF!</definedName>
    <definedName name="外部資料_637" localSheetId="14">PKA!#REF!</definedName>
    <definedName name="外部資料_637" localSheetId="15">PKB!#REF!</definedName>
    <definedName name="外部資料_637" localSheetId="2">紅綠燈!#REF!</definedName>
    <definedName name="外部資料_638" localSheetId="14">PKA!#REF!</definedName>
    <definedName name="外部資料_638" localSheetId="15">PKB!#REF!</definedName>
    <definedName name="外部資料_639" localSheetId="14">PKA!#REF!</definedName>
    <definedName name="外部資料_639" localSheetId="15">PKB!#REF!</definedName>
    <definedName name="外部資料_639" localSheetId="2">紅綠燈!#REF!</definedName>
    <definedName name="外部資料_64" localSheetId="14">PKA!#REF!</definedName>
    <definedName name="外部資料_64" localSheetId="15">PKB!#REF!</definedName>
    <definedName name="外部資料_64" localSheetId="16">PKC!#REF!</definedName>
    <definedName name="外部資料_64" localSheetId="7">PSR!#REF!</definedName>
    <definedName name="外部資料_64" localSheetId="2">紅綠燈!#REF!</definedName>
    <definedName name="外部資料_64" localSheetId="3">評比系統!$T$1:$T$33</definedName>
    <definedName name="外部資料_64" localSheetId="17">福邦!#REF!</definedName>
    <definedName name="外部資料_64" localSheetId="6">營收搶先報!#REF!</definedName>
    <definedName name="外部資料_640" localSheetId="14">PKA!#REF!</definedName>
    <definedName name="外部資料_640" localSheetId="15">PKB!#REF!</definedName>
    <definedName name="外部資料_640" localSheetId="2">紅綠燈!#REF!</definedName>
    <definedName name="外部資料_641" localSheetId="14">PKA!#REF!</definedName>
    <definedName name="外部資料_641" localSheetId="15">PKB!#REF!</definedName>
    <definedName name="外部資料_641" localSheetId="2">紅綠燈!#REF!</definedName>
    <definedName name="外部資料_642" localSheetId="14">PKA!#REF!</definedName>
    <definedName name="外部資料_642" localSheetId="15">PKB!#REF!</definedName>
    <definedName name="外部資料_643" localSheetId="14">PKA!#REF!</definedName>
    <definedName name="外部資料_643" localSheetId="15">PKB!#REF!</definedName>
    <definedName name="外部資料_643" localSheetId="2">紅綠燈!#REF!</definedName>
    <definedName name="外部資料_644" localSheetId="14">PKA!#REF!</definedName>
    <definedName name="外部資料_644" localSheetId="15">PKB!#REF!</definedName>
    <definedName name="外部資料_644" localSheetId="2">紅綠燈!#REF!</definedName>
    <definedName name="外部資料_645" localSheetId="14">PKA!#REF!</definedName>
    <definedName name="外部資料_645" localSheetId="15">PKB!#REF!</definedName>
    <definedName name="外部資料_645" localSheetId="2">紅綠燈!#REF!</definedName>
    <definedName name="外部資料_646" localSheetId="14">PKA!#REF!</definedName>
    <definedName name="外部資料_646" localSheetId="15">PKB!#REF!</definedName>
    <definedName name="外部資料_647" localSheetId="14">PKA!#REF!</definedName>
    <definedName name="外部資料_647" localSheetId="15">PKB!#REF!</definedName>
    <definedName name="外部資料_647" localSheetId="2">紅綠燈!#REF!</definedName>
    <definedName name="外部資料_648" localSheetId="14">PKA!#REF!</definedName>
    <definedName name="外部資料_648" localSheetId="15">PKB!#REF!</definedName>
    <definedName name="外部資料_648" localSheetId="2">紅綠燈!#REF!</definedName>
    <definedName name="外部資料_649" localSheetId="14">PKA!#REF!</definedName>
    <definedName name="外部資料_649" localSheetId="15">PKB!#REF!</definedName>
    <definedName name="外部資料_649" localSheetId="2">紅綠燈!#REF!</definedName>
    <definedName name="外部資料_65" localSheetId="14">PKA!#REF!</definedName>
    <definedName name="外部資料_65" localSheetId="15">PKB!#REF!</definedName>
    <definedName name="外部資料_65" localSheetId="16">PKC!#REF!</definedName>
    <definedName name="外部資料_65" localSheetId="7">PSR!#REF!</definedName>
    <definedName name="外部資料_65" localSheetId="2">紅綠燈!#REF!</definedName>
    <definedName name="外部資料_65" localSheetId="3">評比系統!$T$1:$T$33</definedName>
    <definedName name="外部資料_65" localSheetId="17">福邦!#REF!</definedName>
    <definedName name="外部資料_65" localSheetId="6">營收搶先報!#REF!</definedName>
    <definedName name="外部資料_650" localSheetId="14">PKA!#REF!</definedName>
    <definedName name="外部資料_650" localSheetId="15">PKB!#REF!</definedName>
    <definedName name="外部資料_651" localSheetId="14">PKA!#REF!</definedName>
    <definedName name="外部資料_651" localSheetId="15">PKB!#REF!</definedName>
    <definedName name="外部資料_651" localSheetId="2">紅綠燈!#REF!</definedName>
    <definedName name="外部資料_652" localSheetId="14">PKA!#REF!</definedName>
    <definedName name="外部資料_652" localSheetId="15">PKB!#REF!</definedName>
    <definedName name="外部資料_652" localSheetId="2">紅綠燈!#REF!</definedName>
    <definedName name="外部資料_653" localSheetId="14">PKA!#REF!</definedName>
    <definedName name="外部資料_653" localSheetId="15">PKB!#REF!</definedName>
    <definedName name="外部資料_653" localSheetId="2">紅綠燈!#REF!</definedName>
    <definedName name="外部資料_654" localSheetId="14">PKA!#REF!</definedName>
    <definedName name="外部資料_654" localSheetId="15">PKB!#REF!</definedName>
    <definedName name="外部資料_655" localSheetId="14">PKA!#REF!</definedName>
    <definedName name="外部資料_655" localSheetId="15">PKB!#REF!</definedName>
    <definedName name="外部資料_655" localSheetId="2">紅綠燈!#REF!</definedName>
    <definedName name="外部資料_656" localSheetId="14">PKA!#REF!</definedName>
    <definedName name="外部資料_656" localSheetId="15">PKB!#REF!</definedName>
    <definedName name="外部資料_656" localSheetId="2">紅綠燈!#REF!</definedName>
    <definedName name="外部資料_657" localSheetId="14">PKA!#REF!</definedName>
    <definedName name="外部資料_657" localSheetId="15">PKB!#REF!</definedName>
    <definedName name="外部資料_657" localSheetId="2">紅綠燈!#REF!</definedName>
    <definedName name="外部資料_658" localSheetId="14">PKA!#REF!</definedName>
    <definedName name="外部資料_658" localSheetId="15">PKB!#REF!</definedName>
    <definedName name="外部資料_659" localSheetId="14">PKA!#REF!</definedName>
    <definedName name="外部資料_659" localSheetId="15">PKB!#REF!</definedName>
    <definedName name="外部資料_659" localSheetId="2">紅綠燈!#REF!</definedName>
    <definedName name="外部資料_66" localSheetId="14">PKA!#REF!</definedName>
    <definedName name="外部資料_66" localSheetId="15">PKB!#REF!</definedName>
    <definedName name="外部資料_66" localSheetId="16">PKC!#REF!</definedName>
    <definedName name="外部資料_66" localSheetId="7">PSR!#REF!</definedName>
    <definedName name="外部資料_66" localSheetId="2">紅綠燈!#REF!</definedName>
    <definedName name="外部資料_66" localSheetId="3">評比系統!$T$1:$T$33</definedName>
    <definedName name="外部資料_66" localSheetId="17">福邦!#REF!</definedName>
    <definedName name="外部資料_66" localSheetId="6">營收搶先報!#REF!</definedName>
    <definedName name="外部資料_660" localSheetId="14">PKA!#REF!</definedName>
    <definedName name="外部資料_660" localSheetId="15">PKB!#REF!</definedName>
    <definedName name="外部資料_660" localSheetId="2">紅綠燈!#REF!</definedName>
    <definedName name="外部資料_661" localSheetId="14">PKA!#REF!</definedName>
    <definedName name="外部資料_661" localSheetId="15">PKB!#REF!</definedName>
    <definedName name="外部資料_661" localSheetId="2">紅綠燈!#REF!</definedName>
    <definedName name="外部資料_662" localSheetId="14">PKA!#REF!</definedName>
    <definedName name="外部資料_662" localSheetId="15">PKB!#REF!</definedName>
    <definedName name="外部資料_663" localSheetId="14">PKA!#REF!</definedName>
    <definedName name="外部資料_663" localSheetId="15">PKB!#REF!</definedName>
    <definedName name="外部資料_663" localSheetId="2">紅綠燈!#REF!</definedName>
    <definedName name="外部資料_664" localSheetId="14">PKA!#REF!</definedName>
    <definedName name="外部資料_664" localSheetId="15">PKB!#REF!</definedName>
    <definedName name="外部資料_664" localSheetId="2">紅綠燈!#REF!</definedName>
    <definedName name="外部資料_665" localSheetId="14">PKA!#REF!</definedName>
    <definedName name="外部資料_665" localSheetId="15">PKB!#REF!</definedName>
    <definedName name="外部資料_665" localSheetId="2">紅綠燈!#REF!</definedName>
    <definedName name="外部資料_666" localSheetId="14">PKA!#REF!</definedName>
    <definedName name="外部資料_666" localSheetId="15">PKB!#REF!</definedName>
    <definedName name="外部資料_667" localSheetId="14">PKA!#REF!</definedName>
    <definedName name="外部資料_667" localSheetId="15">PKB!#REF!</definedName>
    <definedName name="外部資料_667" localSheetId="2">紅綠燈!#REF!</definedName>
    <definedName name="外部資料_668" localSheetId="14">PKA!#REF!</definedName>
    <definedName name="外部資料_668" localSheetId="15">PKB!#REF!</definedName>
    <definedName name="外部資料_668" localSheetId="2">紅綠燈!#REF!</definedName>
    <definedName name="外部資料_669" localSheetId="14">PKA!#REF!</definedName>
    <definedName name="外部資料_669" localSheetId="15">PKB!#REF!</definedName>
    <definedName name="外部資料_669" localSheetId="2">紅綠燈!#REF!</definedName>
    <definedName name="外部資料_67" localSheetId="14">PKA!#REF!</definedName>
    <definedName name="外部資料_67" localSheetId="15">PKB!#REF!</definedName>
    <definedName name="外部資料_67" localSheetId="16">PKC!#REF!</definedName>
    <definedName name="外部資料_67" localSheetId="7">PSR!#REF!</definedName>
    <definedName name="外部資料_67" localSheetId="2">紅綠燈!#REF!</definedName>
    <definedName name="外部資料_67" localSheetId="3">評比系統!$T$1:$T$33</definedName>
    <definedName name="外部資料_67" localSheetId="17">福邦!#REF!</definedName>
    <definedName name="外部資料_67" localSheetId="6">營收搶先報!#REF!</definedName>
    <definedName name="外部資料_670" localSheetId="14">PKA!#REF!</definedName>
    <definedName name="外部資料_670" localSheetId="15">PKB!#REF!</definedName>
    <definedName name="外部資料_671" localSheetId="14">PKA!#REF!</definedName>
    <definedName name="外部資料_671" localSheetId="15">PKB!#REF!</definedName>
    <definedName name="外部資料_671" localSheetId="2">紅綠燈!#REF!</definedName>
    <definedName name="外部資料_671" localSheetId="4">篩股系統!$C$2</definedName>
    <definedName name="外部資料_672" localSheetId="14">PKA!#REF!</definedName>
    <definedName name="外部資料_672" localSheetId="15">PKB!#REF!</definedName>
    <definedName name="外部資料_672" localSheetId="2">紅綠燈!#REF!</definedName>
    <definedName name="外部資料_673" localSheetId="14">PKA!#REF!</definedName>
    <definedName name="外部資料_673" localSheetId="15">PKB!#REF!</definedName>
    <definedName name="外部資料_673" localSheetId="2">紅綠燈!#REF!</definedName>
    <definedName name="外部資料_674" localSheetId="14">PKA!#REF!</definedName>
    <definedName name="外部資料_674" localSheetId="15">PKB!#REF!</definedName>
    <definedName name="外部資料_675" localSheetId="14">PKA!#REF!</definedName>
    <definedName name="外部資料_675" localSheetId="15">PKB!#REF!</definedName>
    <definedName name="外部資料_675" localSheetId="2">紅綠燈!#REF!</definedName>
    <definedName name="外部資料_676" localSheetId="14">PKA!#REF!</definedName>
    <definedName name="外部資料_676" localSheetId="15">PKB!#REF!</definedName>
    <definedName name="外部資料_676" localSheetId="2">紅綠燈!#REF!</definedName>
    <definedName name="外部資料_677" localSheetId="14">PKA!#REF!</definedName>
    <definedName name="外部資料_677" localSheetId="15">PKB!#REF!</definedName>
    <definedName name="外部資料_677" localSheetId="2">紅綠燈!#REF!</definedName>
    <definedName name="外部資料_678" localSheetId="14">PKA!#REF!</definedName>
    <definedName name="外部資料_678" localSheetId="15">PKB!#REF!</definedName>
    <definedName name="外部資料_679" localSheetId="14">PKA!#REF!</definedName>
    <definedName name="外部資料_679" localSheetId="15">PKB!#REF!</definedName>
    <definedName name="外部資料_679" localSheetId="2">紅綠燈!#REF!</definedName>
    <definedName name="外部資料_68" localSheetId="14">PKA!#REF!</definedName>
    <definedName name="外部資料_68" localSheetId="15">PKB!#REF!</definedName>
    <definedName name="外部資料_68" localSheetId="16">PKC!#REF!</definedName>
    <definedName name="外部資料_68" localSheetId="7">PSR!#REF!</definedName>
    <definedName name="外部資料_68" localSheetId="2">紅綠燈!#REF!</definedName>
    <definedName name="外部資料_68" localSheetId="3">評比系統!$T$1:$T$33</definedName>
    <definedName name="外部資料_68" localSheetId="17">福邦!#REF!</definedName>
    <definedName name="外部資料_68" localSheetId="6">營收搶先報!#REF!</definedName>
    <definedName name="外部資料_680" localSheetId="14">PKA!#REF!</definedName>
    <definedName name="外部資料_680" localSheetId="15">PKB!#REF!</definedName>
    <definedName name="外部資料_680" localSheetId="2">紅綠燈!#REF!</definedName>
    <definedName name="外部資料_681" localSheetId="14">PKA!#REF!</definedName>
    <definedName name="外部資料_681" localSheetId="15">PKB!#REF!</definedName>
    <definedName name="外部資料_682" localSheetId="14">PKA!#REF!</definedName>
    <definedName name="外部資料_682" localSheetId="15">PKB!#REF!</definedName>
    <definedName name="外部資料_682" localSheetId="2">紅綠燈!#REF!</definedName>
    <definedName name="外部資料_683" localSheetId="14">PKA!#REF!</definedName>
    <definedName name="外部資料_683" localSheetId="15">PKB!#REF!</definedName>
    <definedName name="外部資料_683" localSheetId="2">紅綠燈!#REF!</definedName>
    <definedName name="外部資料_684" localSheetId="14">PKA!#REF!</definedName>
    <definedName name="外部資料_684" localSheetId="15">PKB!#REF!</definedName>
    <definedName name="外部資料_684" localSheetId="2">紅綠燈!#REF!</definedName>
    <definedName name="外部資料_685" localSheetId="14">PKA!#REF!</definedName>
    <definedName name="外部資料_685" localSheetId="15">PKB!#REF!</definedName>
    <definedName name="外部資料_686" localSheetId="14">PKA!#REF!</definedName>
    <definedName name="外部資料_686" localSheetId="15">PKB!#REF!</definedName>
    <definedName name="外部資料_686" localSheetId="2">紅綠燈!#REF!</definedName>
    <definedName name="外部資料_687" localSheetId="14">PKA!#REF!</definedName>
    <definedName name="外部資料_687" localSheetId="15">PKB!#REF!</definedName>
    <definedName name="外部資料_687" localSheetId="2">紅綠燈!#REF!</definedName>
    <definedName name="外部資料_688" localSheetId="14">PKA!#REF!</definedName>
    <definedName name="外部資料_688" localSheetId="15">PKB!#REF!</definedName>
    <definedName name="外部資料_688" localSheetId="2">紅綠燈!#REF!</definedName>
    <definedName name="外部資料_689" localSheetId="14">PKA!#REF!</definedName>
    <definedName name="外部資料_689" localSheetId="15">PKB!#REF!</definedName>
    <definedName name="外部資料_69" localSheetId="14">PKA!#REF!</definedName>
    <definedName name="外部資料_69" localSheetId="15">PKB!#REF!</definedName>
    <definedName name="外部資料_69" localSheetId="16">PKC!#REF!</definedName>
    <definedName name="外部資料_69" localSheetId="7">PSR!#REF!</definedName>
    <definedName name="外部資料_69" localSheetId="2">紅綠燈!#REF!</definedName>
    <definedName name="外部資料_69" localSheetId="3">評比系統!$T$1:$T$33</definedName>
    <definedName name="外部資料_69" localSheetId="17">福邦!#REF!</definedName>
    <definedName name="外部資料_69" localSheetId="6">營收搶先報!#REF!</definedName>
    <definedName name="外部資料_690" localSheetId="14">PKA!#REF!</definedName>
    <definedName name="外部資料_690" localSheetId="15">PKB!#REF!</definedName>
    <definedName name="外部資料_690" localSheetId="2">紅綠燈!#REF!</definedName>
    <definedName name="外部資料_691" localSheetId="14">PKA!#REF!</definedName>
    <definedName name="外部資料_691" localSheetId="15">PKB!#REF!</definedName>
    <definedName name="外部資料_691" localSheetId="2">紅綠燈!#REF!</definedName>
    <definedName name="外部資料_692" localSheetId="14">PKA!#REF!</definedName>
    <definedName name="外部資料_692" localSheetId="15">PKB!#REF!</definedName>
    <definedName name="外部資料_692" localSheetId="2">紅綠燈!#REF!</definedName>
    <definedName name="外部資料_693" localSheetId="14">PKA!#REF!</definedName>
    <definedName name="外部資料_693" localSheetId="15">PKB!#REF!</definedName>
    <definedName name="外部資料_694" localSheetId="14">PKA!#REF!</definedName>
    <definedName name="外部資料_694" localSheetId="15">PKB!#REF!</definedName>
    <definedName name="外部資料_694" localSheetId="2">紅綠燈!#REF!</definedName>
    <definedName name="外部資料_695" localSheetId="14">PKA!#REF!</definedName>
    <definedName name="外部資料_695" localSheetId="15">PKB!#REF!</definedName>
    <definedName name="外部資料_695" localSheetId="2">紅綠燈!#REF!</definedName>
    <definedName name="外部資料_696" localSheetId="14">PKA!#REF!</definedName>
    <definedName name="外部資料_696" localSheetId="15">PKB!#REF!</definedName>
    <definedName name="外部資料_696" localSheetId="2">紅綠燈!#REF!</definedName>
    <definedName name="外部資料_697" localSheetId="14">PKA!#REF!</definedName>
    <definedName name="外部資料_697" localSheetId="15">PKB!#REF!</definedName>
    <definedName name="外部資料_698" localSheetId="14">PKA!#REF!</definedName>
    <definedName name="外部資料_698" localSheetId="15">PKB!#REF!</definedName>
    <definedName name="外部資料_698" localSheetId="2">紅綠燈!#REF!</definedName>
    <definedName name="外部資料_699" localSheetId="14">PKA!#REF!</definedName>
    <definedName name="外部資料_699" localSheetId="15">PKB!#REF!</definedName>
    <definedName name="外部資料_699" localSheetId="2">紅綠燈!#REF!</definedName>
    <definedName name="外部資料_7" localSheetId="14">PKA!#REF!</definedName>
    <definedName name="外部資料_7" localSheetId="15">PKB!#REF!</definedName>
    <definedName name="外部資料_7" localSheetId="16">PKC!#REF!</definedName>
    <definedName name="外部資料_7" localSheetId="7">PSR!#REF!</definedName>
    <definedName name="外部資料_7" localSheetId="2">紅綠燈!#REF!</definedName>
    <definedName name="外部資料_7" localSheetId="3">評比系統!#REF!</definedName>
    <definedName name="外部資料_7" localSheetId="17">福邦!#REF!</definedName>
    <definedName name="外部資料_7" localSheetId="4">篩股系統!#REF!</definedName>
    <definedName name="外部資料_7" localSheetId="6">營收搶先報!#REF!</definedName>
    <definedName name="外部資料_70" localSheetId="14">PKA!#REF!</definedName>
    <definedName name="外部資料_70" localSheetId="15">PKB!#REF!</definedName>
    <definedName name="外部資料_70" localSheetId="16">PKC!#REF!</definedName>
    <definedName name="外部資料_70" localSheetId="7">PSR!#REF!</definedName>
    <definedName name="外部資料_70" localSheetId="2">紅綠燈!#REF!</definedName>
    <definedName name="外部資料_70" localSheetId="3">評比系統!$T$1:$T$33</definedName>
    <definedName name="外部資料_70" localSheetId="17">福邦!#REF!</definedName>
    <definedName name="外部資料_70" localSheetId="6">營收搶先報!#REF!</definedName>
    <definedName name="外部資料_700" localSheetId="14">PKA!#REF!</definedName>
    <definedName name="外部資料_700" localSheetId="15">PKB!#REF!</definedName>
    <definedName name="外部資料_700" localSheetId="2">紅綠燈!#REF!</definedName>
    <definedName name="外部資料_701" localSheetId="14">PKA!#REF!</definedName>
    <definedName name="外部資料_701" localSheetId="15">PKB!#REF!</definedName>
    <definedName name="外部資料_702" localSheetId="14">PKA!#REF!</definedName>
    <definedName name="外部資料_702" localSheetId="15">PKB!#REF!</definedName>
    <definedName name="外部資料_702" localSheetId="2">紅綠燈!#REF!</definedName>
    <definedName name="外部資料_703" localSheetId="14">PKA!#REF!</definedName>
    <definedName name="外部資料_703" localSheetId="15">PKB!#REF!</definedName>
    <definedName name="外部資料_703" localSheetId="2">紅綠燈!#REF!</definedName>
    <definedName name="外部資料_704" localSheetId="14">PKA!#REF!</definedName>
    <definedName name="外部資料_704" localSheetId="15">PKB!#REF!</definedName>
    <definedName name="外部資料_704" localSheetId="2">紅綠燈!#REF!</definedName>
    <definedName name="外部資料_705" localSheetId="14">PKA!#REF!</definedName>
    <definedName name="外部資料_705" localSheetId="15">PKB!#REF!</definedName>
    <definedName name="外部資料_706" localSheetId="14">PKA!#REF!</definedName>
    <definedName name="外部資料_706" localSheetId="15">PKB!#REF!</definedName>
    <definedName name="外部資料_706" localSheetId="2">紅綠燈!#REF!</definedName>
    <definedName name="外部資料_707" localSheetId="14">PKA!#REF!</definedName>
    <definedName name="外部資料_707" localSheetId="15">PKB!#REF!</definedName>
    <definedName name="外部資料_707" localSheetId="2">紅綠燈!#REF!</definedName>
    <definedName name="外部資料_708" localSheetId="14">PKA!#REF!</definedName>
    <definedName name="外部資料_708" localSheetId="15">PKB!#REF!</definedName>
    <definedName name="外部資料_708" localSheetId="2">紅綠燈!#REF!</definedName>
    <definedName name="外部資料_709" localSheetId="14">PKA!#REF!</definedName>
    <definedName name="外部資料_709" localSheetId="15">PKB!#REF!</definedName>
    <definedName name="外部資料_71" localSheetId="14">PKA!#REF!</definedName>
    <definedName name="外部資料_71" localSheetId="15">PKB!#REF!</definedName>
    <definedName name="外部資料_71" localSheetId="16">PKC!#REF!</definedName>
    <definedName name="外部資料_71" localSheetId="7">PSR!#REF!</definedName>
    <definedName name="外部資料_71" localSheetId="2">紅綠燈!#REF!</definedName>
    <definedName name="外部資料_71" localSheetId="3">評比系統!$T$1:$T$33</definedName>
    <definedName name="外部資料_71" localSheetId="17">福邦!#REF!</definedName>
    <definedName name="外部資料_71" localSheetId="6">營收搶先報!#REF!</definedName>
    <definedName name="外部資料_710" localSheetId="14">PKA!#REF!</definedName>
    <definedName name="外部資料_710" localSheetId="15">PKB!#REF!</definedName>
    <definedName name="外部資料_710" localSheetId="2">紅綠燈!#REF!</definedName>
    <definedName name="外部資料_711" localSheetId="14">PKA!#REF!</definedName>
    <definedName name="外部資料_711" localSheetId="15">PKB!#REF!</definedName>
    <definedName name="外部資料_711" localSheetId="2">紅綠燈!#REF!</definedName>
    <definedName name="外部資料_712" localSheetId="14">PKA!#REF!</definedName>
    <definedName name="外部資料_712" localSheetId="15">PKB!#REF!</definedName>
    <definedName name="外部資料_712" localSheetId="2">紅綠燈!#REF!</definedName>
    <definedName name="外部資料_713" localSheetId="14">PKA!#REF!</definedName>
    <definedName name="外部資料_713" localSheetId="15">PKB!#REF!</definedName>
    <definedName name="外部資料_714" localSheetId="14">PKA!#REF!</definedName>
    <definedName name="外部資料_714" localSheetId="15">PKB!#REF!</definedName>
    <definedName name="外部資料_714" localSheetId="2">紅綠燈!#REF!</definedName>
    <definedName name="外部資料_715" localSheetId="14">PKA!#REF!</definedName>
    <definedName name="外部資料_715" localSheetId="15">PKB!#REF!</definedName>
    <definedName name="外部資料_715" localSheetId="2">紅綠燈!#REF!</definedName>
    <definedName name="外部資料_716" localSheetId="14">PKA!#REF!</definedName>
    <definedName name="外部資料_716" localSheetId="15">PKB!#REF!</definedName>
    <definedName name="外部資料_716" localSheetId="2">紅綠燈!#REF!</definedName>
    <definedName name="外部資料_717" localSheetId="14">PKA!#REF!</definedName>
    <definedName name="外部資料_717" localSheetId="15">PKB!#REF!</definedName>
    <definedName name="外部資料_718" localSheetId="14">PKA!#REF!</definedName>
    <definedName name="外部資料_718" localSheetId="15">PKB!#REF!</definedName>
    <definedName name="外部資料_718" localSheetId="2">紅綠燈!#REF!</definedName>
    <definedName name="外部資料_719" localSheetId="14">PKA!#REF!</definedName>
    <definedName name="外部資料_719" localSheetId="15">PKB!#REF!</definedName>
    <definedName name="外部資料_719" localSheetId="2">紅綠燈!#REF!</definedName>
    <definedName name="外部資料_72" localSheetId="14">PKA!#REF!</definedName>
    <definedName name="外部資料_72" localSheetId="15">PKB!#REF!</definedName>
    <definedName name="外部資料_72" localSheetId="16">PKC!#REF!</definedName>
    <definedName name="外部資料_72" localSheetId="7">PSR!#REF!</definedName>
    <definedName name="外部資料_72" localSheetId="2">紅綠燈!#REF!</definedName>
    <definedName name="外部資料_72" localSheetId="3">評比系統!$T$1:$T$33</definedName>
    <definedName name="外部資料_72" localSheetId="17">福邦!#REF!</definedName>
    <definedName name="外部資料_72" localSheetId="6">營收搶先報!#REF!</definedName>
    <definedName name="外部資料_720" localSheetId="14">PKA!#REF!</definedName>
    <definedName name="外部資料_720" localSheetId="15">PKB!#REF!</definedName>
    <definedName name="外部資料_720" localSheetId="2">紅綠燈!#REF!</definedName>
    <definedName name="外部資料_721" localSheetId="14">PKA!#REF!</definedName>
    <definedName name="外部資料_721" localSheetId="15">PKB!#REF!</definedName>
    <definedName name="外部資料_722" localSheetId="14">PKA!#REF!</definedName>
    <definedName name="外部資料_722" localSheetId="15">PKB!#REF!</definedName>
    <definedName name="外部資料_722" localSheetId="2">紅綠燈!#REF!</definedName>
    <definedName name="外部資料_723" localSheetId="14">PKA!#REF!</definedName>
    <definedName name="外部資料_723" localSheetId="15">PKB!#REF!</definedName>
    <definedName name="外部資料_723" localSheetId="2">紅綠燈!#REF!</definedName>
    <definedName name="外部資料_724" localSheetId="14">PKA!#REF!</definedName>
    <definedName name="外部資料_724" localSheetId="15">PKB!#REF!</definedName>
    <definedName name="外部資料_724" localSheetId="2">紅綠燈!#REF!</definedName>
    <definedName name="外部資料_725" localSheetId="14">PKA!#REF!</definedName>
    <definedName name="外部資料_725" localSheetId="15">PKB!#REF!</definedName>
    <definedName name="外部資料_726" localSheetId="14">PKA!#REF!</definedName>
    <definedName name="外部資料_726" localSheetId="15">PKB!#REF!</definedName>
    <definedName name="外部資料_726" localSheetId="2">紅綠燈!#REF!</definedName>
    <definedName name="外部資料_727" localSheetId="14">PKA!#REF!</definedName>
    <definedName name="外部資料_727" localSheetId="15">PKB!#REF!</definedName>
    <definedName name="外部資料_727" localSheetId="2">紅綠燈!#REF!</definedName>
    <definedName name="外部資料_728" localSheetId="14">PKA!#REF!</definedName>
    <definedName name="外部資料_728" localSheetId="15">PKB!#REF!</definedName>
    <definedName name="外部資料_728" localSheetId="2">紅綠燈!#REF!</definedName>
    <definedName name="外部資料_729" localSheetId="14">PKA!#REF!</definedName>
    <definedName name="外部資料_729" localSheetId="15">PKB!#REF!</definedName>
    <definedName name="外部資料_73" localSheetId="14">PKA!#REF!</definedName>
    <definedName name="外部資料_73" localSheetId="15">PKB!#REF!</definedName>
    <definedName name="外部資料_73" localSheetId="16">PKC!#REF!</definedName>
    <definedName name="外部資料_73" localSheetId="7">PSR!#REF!</definedName>
    <definedName name="外部資料_73" localSheetId="2">紅綠燈!#REF!</definedName>
    <definedName name="外部資料_73" localSheetId="3">評比系統!$T$1:$T$33</definedName>
    <definedName name="外部資料_73" localSheetId="17">福邦!#REF!</definedName>
    <definedName name="外部資料_73" localSheetId="6">營收搶先報!#REF!</definedName>
    <definedName name="外部資料_730" localSheetId="14">PKA!#REF!</definedName>
    <definedName name="外部資料_730" localSheetId="15">PKB!#REF!</definedName>
    <definedName name="外部資料_730" localSheetId="2">紅綠燈!#REF!</definedName>
    <definedName name="外部資料_731" localSheetId="14">PKA!#REF!</definedName>
    <definedName name="外部資料_731" localSheetId="15">PKB!#REF!</definedName>
    <definedName name="外部資料_731" localSheetId="2">紅綠燈!#REF!</definedName>
    <definedName name="外部資料_732" localSheetId="14">PKA!#REF!</definedName>
    <definedName name="外部資料_732" localSheetId="15">PKB!#REF!</definedName>
    <definedName name="外部資料_732" localSheetId="2">紅綠燈!#REF!</definedName>
    <definedName name="外部資料_733" localSheetId="14">PKA!$A$1:$K$65</definedName>
    <definedName name="外部資料_733" localSheetId="15">PKB!#REF!</definedName>
    <definedName name="外部資料_734" localSheetId="14">PKA!$A$100:$K$160</definedName>
    <definedName name="外部資料_734" localSheetId="15">PKB!#REF!</definedName>
    <definedName name="外部資料_734" localSheetId="2">紅綠燈!#REF!</definedName>
    <definedName name="外部資料_735" localSheetId="14">PKA!$A$200:$K$247</definedName>
    <definedName name="外部資料_735" localSheetId="15">PKB!#REF!</definedName>
    <definedName name="外部資料_735" localSheetId="2">紅綠燈!#REF!</definedName>
    <definedName name="外部資料_736" localSheetId="15">PKB!#REF!</definedName>
    <definedName name="外部資料_736" localSheetId="2">紅綠燈!#REF!</definedName>
    <definedName name="外部資料_737" localSheetId="15">PKB!$A$1:$K$65</definedName>
    <definedName name="外部資料_738" localSheetId="15">PKB!$A$100:$K$160</definedName>
    <definedName name="外部資料_738" localSheetId="2">紅綠燈!#REF!</definedName>
    <definedName name="外部資料_739" localSheetId="15">PKB!$A$200:$K$247</definedName>
    <definedName name="外部資料_739" localSheetId="2">紅綠燈!#REF!</definedName>
    <definedName name="外部資料_74" localSheetId="14">PKA!#REF!</definedName>
    <definedName name="外部資料_74" localSheetId="15">PKB!#REF!</definedName>
    <definedName name="外部資料_74" localSheetId="16">PKC!#REF!</definedName>
    <definedName name="外部資料_74" localSheetId="7">PSR!#REF!</definedName>
    <definedName name="外部資料_74" localSheetId="2">紅綠燈!#REF!</definedName>
    <definedName name="外部資料_74" localSheetId="3">評比系統!$T$1:$T$33</definedName>
    <definedName name="外部資料_74" localSheetId="17">福邦!#REF!</definedName>
    <definedName name="外部資料_74" localSheetId="6">營收搶先報!#REF!</definedName>
    <definedName name="外部資料_740" localSheetId="2">紅綠燈!#REF!</definedName>
    <definedName name="外部資料_742" localSheetId="2">紅綠燈!#REF!</definedName>
    <definedName name="外部資料_743" localSheetId="2">紅綠燈!#REF!</definedName>
    <definedName name="外部資料_744" localSheetId="2">紅綠燈!#REF!</definedName>
    <definedName name="外部資料_746" localSheetId="2">紅綠燈!#REF!</definedName>
    <definedName name="外部資料_747" localSheetId="2">紅綠燈!#REF!</definedName>
    <definedName name="外部資料_748" localSheetId="2">紅綠燈!#REF!</definedName>
    <definedName name="外部資料_75" localSheetId="14">PKA!#REF!</definedName>
    <definedName name="外部資料_75" localSheetId="15">PKB!#REF!</definedName>
    <definedName name="外部資料_75" localSheetId="16">PKC!#REF!</definedName>
    <definedName name="外部資料_75" localSheetId="7">PSR!#REF!</definedName>
    <definedName name="外部資料_75" localSheetId="3">評比系統!$T$1:$T$33</definedName>
    <definedName name="外部資料_75" localSheetId="17">福邦!#REF!</definedName>
    <definedName name="外部資料_75" localSheetId="6">營收搶先報!#REF!</definedName>
    <definedName name="外部資料_750" localSheetId="2">紅綠燈!#REF!</definedName>
    <definedName name="外部資料_751" localSheetId="2">紅綠燈!#REF!</definedName>
    <definedName name="外部資料_752" localSheetId="2">紅綠燈!#REF!</definedName>
    <definedName name="外部資料_754" localSheetId="2">紅綠燈!#REF!</definedName>
    <definedName name="外部資料_755" localSheetId="2">紅綠燈!#REF!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2">紅綠燈!#REF!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2">紅綠燈!#REF!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2">紅綠燈!#REF!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4">PKA!#REF!</definedName>
    <definedName name="外部資料_76" localSheetId="15">PKB!#REF!</definedName>
    <definedName name="外部資料_76" localSheetId="16">PKC!#REF!</definedName>
    <definedName name="外部資料_76" localSheetId="7">PSR!#REF!</definedName>
    <definedName name="外部資料_76" localSheetId="2">紅綠燈!#REF!</definedName>
    <definedName name="外部資料_76" localSheetId="3">評比系統!$T$1:$T$33</definedName>
    <definedName name="外部資料_76" localSheetId="17">福邦!#REF!</definedName>
    <definedName name="外部資料_76" localSheetId="4">篩股系統!#REF!</definedName>
    <definedName name="外部資料_76" localSheetId="6">營收搶先報!#REF!</definedName>
    <definedName name="外部資料_760" localSheetId="2">紅綠燈!#REF!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2">紅綠燈!#REF!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2">紅綠燈!#REF!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2">紅綠燈!#REF!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2">紅綠燈!#REF!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2">紅綠燈!#REF!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2">紅綠燈!#REF!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4">PKA!#REF!</definedName>
    <definedName name="外部資料_77" localSheetId="15">PKB!#REF!</definedName>
    <definedName name="外部資料_77" localSheetId="16">PKC!#REF!</definedName>
    <definedName name="外部資料_77" localSheetId="7">PSR!#REF!</definedName>
    <definedName name="外部資料_77" localSheetId="2">紅綠燈!#REF!</definedName>
    <definedName name="外部資料_77" localSheetId="3">評比系統!$T$1:$T$33</definedName>
    <definedName name="外部資料_77" localSheetId="17">福邦!#REF!</definedName>
    <definedName name="外部資料_77" localSheetId="6">營收搶先報!#REF!</definedName>
    <definedName name="外部資料_770" localSheetId="2">紅綠燈!#REF!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2">紅綠燈!#REF!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2">紅綠燈!#REF!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2">紅綠燈!#REF!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2">紅綠燈!#REF!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2">紅綠燈!#REF!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2">紅綠燈!#REF!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2">紅綠燈!#REF!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4">PKA!#REF!</definedName>
    <definedName name="外部資料_78" localSheetId="15">PKB!#REF!</definedName>
    <definedName name="外部資料_78" localSheetId="16">PKC!#REF!</definedName>
    <definedName name="外部資料_78" localSheetId="7">PSR!#REF!</definedName>
    <definedName name="外部資料_78" localSheetId="2">紅綠燈!#REF!</definedName>
    <definedName name="外部資料_78" localSheetId="3">評比系統!$T$1:$T$33</definedName>
    <definedName name="外部資料_78" localSheetId="17">福邦!#REF!</definedName>
    <definedName name="外部資料_78" localSheetId="6">營收搶先報!$A$2:$K$114</definedName>
    <definedName name="外部資料_780" localSheetId="2">紅綠燈!#REF!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2">紅綠燈!#REF!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2">紅綠燈!#REF!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2">紅綠燈!#REF!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2">紅綠燈!#REF!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2">紅綠燈!#REF!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2">紅綠燈!#REF!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4">PKA!#REF!</definedName>
    <definedName name="外部資料_79" localSheetId="15">PKB!#REF!</definedName>
    <definedName name="外部資料_79" localSheetId="16">PKC!#REF!</definedName>
    <definedName name="外部資料_79" localSheetId="7">PSR!#REF!</definedName>
    <definedName name="外部資料_79" localSheetId="3">評比系統!$T$1:$T$33</definedName>
    <definedName name="外部資料_79" localSheetId="17">福邦!#REF!</definedName>
    <definedName name="外部資料_79" localSheetId="6">營收搶先報!$A$2:$K$61</definedName>
    <definedName name="外部資料_790" localSheetId="2">紅綠燈!#REF!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2">紅綠燈!#REF!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2">紅綠燈!#REF!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2">紅綠燈!#REF!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2">紅綠燈!#REF!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2">紅綠燈!#REF!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2">紅綠燈!#REF!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2">紅綠燈!#REF!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4">PKA!#REF!</definedName>
    <definedName name="外部資料_8" localSheetId="15">PKB!#REF!</definedName>
    <definedName name="外部資料_8" localSheetId="16">PKC!#REF!</definedName>
    <definedName name="外部資料_8" localSheetId="7">PSR!#REF!</definedName>
    <definedName name="外部資料_8" localSheetId="2">紅綠燈!#REF!</definedName>
    <definedName name="外部資料_8" localSheetId="3">評比系統!#REF!</definedName>
    <definedName name="外部資料_8" localSheetId="17">福邦!#REF!</definedName>
    <definedName name="外部資料_8" localSheetId="4">篩股系統!#REF!</definedName>
    <definedName name="外部資料_8" localSheetId="6">營收搶先報!#REF!</definedName>
    <definedName name="外部資料_80" localSheetId="14">PKA!#REF!</definedName>
    <definedName name="外部資料_80" localSheetId="15">PKB!#REF!</definedName>
    <definedName name="外部資料_80" localSheetId="16">PKC!#REF!</definedName>
    <definedName name="外部資料_80" localSheetId="7">PSR!#REF!</definedName>
    <definedName name="外部資料_80" localSheetId="2">紅綠燈!#REF!</definedName>
    <definedName name="外部資料_80" localSheetId="3">評比系統!$T$1:$T$33</definedName>
    <definedName name="外部資料_80" localSheetId="17">福邦!#REF!</definedName>
    <definedName name="外部資料_80" localSheetId="6">營收搶先報!$A$2:$K$334</definedName>
    <definedName name="外部資料_800" localSheetId="2">紅綠燈!#REF!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2">紅綠燈!#REF!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2">紅綠燈!#REF!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2">紅綠燈!#REF!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2">紅綠燈!#REF!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2">紅綠燈!#REF!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2">紅綠燈!#REF!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4">PKA!#REF!</definedName>
    <definedName name="外部資料_81" localSheetId="15">PKB!#REF!</definedName>
    <definedName name="外部資料_81" localSheetId="16">PKC!#REF!</definedName>
    <definedName name="外部資料_81" localSheetId="7">PSR!#REF!</definedName>
    <definedName name="外部資料_81" localSheetId="2">紅綠燈!#REF!</definedName>
    <definedName name="外部資料_81" localSheetId="3">評比系統!$T$1:$T$33</definedName>
    <definedName name="外部資料_81" localSheetId="17">福邦!#REF!</definedName>
    <definedName name="外部資料_81" localSheetId="6">營收搶先報!$A$2:$K$284</definedName>
    <definedName name="外部資料_810" localSheetId="2">紅綠燈!#REF!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2">紅綠燈!#REF!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2">紅綠燈!#REF!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2">紅綠燈!#REF!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2">紅綠燈!#REF!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2">紅綠燈!#REF!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2">紅綠燈!#REF!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2">紅綠燈!#REF!</definedName>
    <definedName name="外部資料_82" localSheetId="14">PKA!#REF!</definedName>
    <definedName name="外部資料_82" localSheetId="15">PKB!#REF!</definedName>
    <definedName name="外部資料_82" localSheetId="16">PKC!#REF!</definedName>
    <definedName name="外部資料_82" localSheetId="7">PSR!#REF!</definedName>
    <definedName name="外部資料_82" localSheetId="2">紅綠燈!#REF!</definedName>
    <definedName name="外部資料_82" localSheetId="3">評比系統!$T$1:$T$33</definedName>
    <definedName name="外部資料_82" localSheetId="17">福邦!#REF!</definedName>
    <definedName name="外部資料_82" localSheetId="6">營收搶先報!$A$2:$K$556</definedName>
    <definedName name="外部資料_820" localSheetId="2">紅綠燈!#REF!</definedName>
    <definedName name="外部資料_822" localSheetId="2">紅綠燈!#REF!</definedName>
    <definedName name="外部資料_823" localSheetId="2">紅綠燈!#REF!</definedName>
    <definedName name="外部資料_824" localSheetId="2">紅綠燈!#REF!</definedName>
    <definedName name="外部資料_826" localSheetId="2">紅綠燈!#REF!</definedName>
    <definedName name="外部資料_827" localSheetId="2">紅綠燈!#REF!</definedName>
    <definedName name="外部資料_828" localSheetId="2">紅綠燈!#REF!</definedName>
    <definedName name="外部資料_83" localSheetId="14">PKA!#REF!</definedName>
    <definedName name="外部資料_83" localSheetId="15">PKB!#REF!</definedName>
    <definedName name="外部資料_83" localSheetId="16">PKC!#REF!</definedName>
    <definedName name="外部資料_83" localSheetId="7">PSR!#REF!</definedName>
    <definedName name="外部資料_83" localSheetId="2">紅綠燈!#REF!</definedName>
    <definedName name="外部資料_83" localSheetId="3">評比系統!$T$1:$T$33</definedName>
    <definedName name="外部資料_83" localSheetId="17">福邦!#REF!</definedName>
    <definedName name="外部資料_83" localSheetId="4">篩股系統!#REF!</definedName>
    <definedName name="外部資料_83" localSheetId="6">營收搶先報!$A$2:$K$504</definedName>
    <definedName name="外部資料_830" localSheetId="2">紅綠燈!#REF!</definedName>
    <definedName name="外部資料_831" localSheetId="2">紅綠燈!#REF!</definedName>
    <definedName name="外部資料_832" localSheetId="2">紅綠燈!#REF!</definedName>
    <definedName name="外部資料_834" localSheetId="2">紅綠燈!#REF!</definedName>
    <definedName name="外部資料_835" localSheetId="2">紅綠燈!#REF!</definedName>
    <definedName name="外部資料_836" localSheetId="2">紅綠燈!#REF!</definedName>
    <definedName name="外部資料_838" localSheetId="2">紅綠燈!#REF!</definedName>
    <definedName name="外部資料_839" localSheetId="2">紅綠燈!#REF!</definedName>
    <definedName name="外部資料_84" localSheetId="14">PKA!#REF!</definedName>
    <definedName name="外部資料_84" localSheetId="15">PKB!#REF!</definedName>
    <definedName name="外部資料_84" localSheetId="16">PKC!#REF!</definedName>
    <definedName name="外部資料_84" localSheetId="7">PSR!#REF!</definedName>
    <definedName name="外部資料_84" localSheetId="2">紅綠燈!#REF!</definedName>
    <definedName name="外部資料_84" localSheetId="3">評比系統!$T$1:$T$33</definedName>
    <definedName name="外部資料_84" localSheetId="17">福邦!#REF!</definedName>
    <definedName name="外部資料_84" localSheetId="6">營收搶先報!$A$2:$K$776</definedName>
    <definedName name="外部資料_840" localSheetId="2">紅綠燈!#REF!</definedName>
    <definedName name="外部資料_842" localSheetId="2">紅綠燈!#REF!</definedName>
    <definedName name="外部資料_843" localSheetId="2">紅綠燈!#REF!</definedName>
    <definedName name="外部資料_844" localSheetId="2">紅綠燈!#REF!</definedName>
    <definedName name="外部資料_846" localSheetId="2">紅綠燈!#REF!</definedName>
    <definedName name="外部資料_847" localSheetId="2">紅綠燈!#REF!</definedName>
    <definedName name="外部資料_848" localSheetId="2">紅綠燈!#REF!</definedName>
    <definedName name="外部資料_85" localSheetId="14">PKA!#REF!</definedName>
    <definedName name="外部資料_85" localSheetId="15">PKB!#REF!</definedName>
    <definedName name="外部資料_85" localSheetId="16">PKC!#REF!</definedName>
    <definedName name="外部資料_85" localSheetId="7">PSR!#REF!</definedName>
    <definedName name="外部資料_85" localSheetId="2">紅綠燈!#REF!</definedName>
    <definedName name="外部資料_85" localSheetId="3">評比系統!$T$1:$T$33</definedName>
    <definedName name="外部資料_85" localSheetId="17">福邦!#REF!</definedName>
    <definedName name="外部資料_85" localSheetId="6">營收搶先報!$A$2:$K$724</definedName>
    <definedName name="外部資料_850" localSheetId="2">紅綠燈!#REF!</definedName>
    <definedName name="外部資料_851" localSheetId="2">紅綠燈!#REF!</definedName>
    <definedName name="外部資料_852" localSheetId="2">紅綠燈!#REF!</definedName>
    <definedName name="外部資料_854" localSheetId="2">紅綠燈!#REF!</definedName>
    <definedName name="外部資料_855" localSheetId="2">紅綠燈!#REF!</definedName>
    <definedName name="外部資料_856" localSheetId="2">紅綠燈!#REF!</definedName>
    <definedName name="外部資料_858" localSheetId="2">紅綠燈!#REF!</definedName>
    <definedName name="外部資料_859" localSheetId="2">紅綠燈!#REF!</definedName>
    <definedName name="外部資料_86" localSheetId="14">PKA!#REF!</definedName>
    <definedName name="外部資料_86" localSheetId="15">PKB!#REF!</definedName>
    <definedName name="外部資料_86" localSheetId="16">PKC!#REF!</definedName>
    <definedName name="外部資料_86" localSheetId="7">PSR!#REF!</definedName>
    <definedName name="外部資料_86" localSheetId="2">紅綠燈!#REF!</definedName>
    <definedName name="外部資料_86" localSheetId="3">評比系統!$T$1:$T$33</definedName>
    <definedName name="外部資料_86" localSheetId="17">福邦!#REF!</definedName>
    <definedName name="外部資料_860" localSheetId="2">紅綠燈!#REF!</definedName>
    <definedName name="外部資料_862" localSheetId="2">紅綠燈!#REF!</definedName>
    <definedName name="外部資料_863" localSheetId="2">紅綠燈!#REF!</definedName>
    <definedName name="外部資料_864" localSheetId="2">紅綠燈!#REF!</definedName>
    <definedName name="外部資料_866" localSheetId="2">紅綠燈!#REF!</definedName>
    <definedName name="外部資料_867" localSheetId="2">紅綠燈!#REF!</definedName>
    <definedName name="外部資料_868" localSheetId="2">紅綠燈!#REF!</definedName>
    <definedName name="外部資料_87" localSheetId="14">PKA!#REF!</definedName>
    <definedName name="外部資料_87" localSheetId="15">PKB!#REF!</definedName>
    <definedName name="外部資料_87" localSheetId="16">PKC!#REF!</definedName>
    <definedName name="外部資料_87" localSheetId="7">PSR!#REF!</definedName>
    <definedName name="外部資料_87" localSheetId="2">紅綠燈!#REF!</definedName>
    <definedName name="外部資料_87" localSheetId="3">評比系統!$T$1:$T$33</definedName>
    <definedName name="外部資料_87" localSheetId="17">福邦!#REF!</definedName>
    <definedName name="外部資料_870" localSheetId="2">紅綠燈!#REF!</definedName>
    <definedName name="外部資料_871" localSheetId="2">紅綠燈!#REF!</definedName>
    <definedName name="外部資料_872" localSheetId="2">紅綠燈!#REF!</definedName>
    <definedName name="外部資料_874" localSheetId="2">紅綠燈!#REF!</definedName>
    <definedName name="外部資料_875" localSheetId="2">紅綠燈!#REF!</definedName>
    <definedName name="外部資料_876" localSheetId="2">紅綠燈!#REF!</definedName>
    <definedName name="外部資料_878" localSheetId="2">紅綠燈!#REF!</definedName>
    <definedName name="外部資料_879" localSheetId="2">紅綠燈!#REF!</definedName>
    <definedName name="外部資料_88" localSheetId="14">PKA!#REF!</definedName>
    <definedName name="外部資料_88" localSheetId="15">PKB!#REF!</definedName>
    <definedName name="外部資料_88" localSheetId="16">PKC!#REF!</definedName>
    <definedName name="外部資料_88" localSheetId="7">PSR!#REF!</definedName>
    <definedName name="外部資料_88" localSheetId="2">紅綠燈!#REF!</definedName>
    <definedName name="外部資料_88" localSheetId="3">評比系統!$T$1:$T$33</definedName>
    <definedName name="外部資料_88" localSheetId="17">福邦!#REF!</definedName>
    <definedName name="外部資料_880" localSheetId="2">紅綠燈!#REF!</definedName>
    <definedName name="外部資料_882" localSheetId="2">紅綠燈!#REF!</definedName>
    <definedName name="外部資料_883" localSheetId="2">紅綠燈!#REF!</definedName>
    <definedName name="外部資料_884" localSheetId="2">紅綠燈!#REF!</definedName>
    <definedName name="外部資料_886" localSheetId="2">紅綠燈!#REF!</definedName>
    <definedName name="外部資料_887" localSheetId="2">紅綠燈!#REF!</definedName>
    <definedName name="外部資料_888" localSheetId="2">紅綠燈!#REF!</definedName>
    <definedName name="外部資料_89" localSheetId="14">PKA!#REF!</definedName>
    <definedName name="外部資料_89" localSheetId="15">PKB!#REF!</definedName>
    <definedName name="外部資料_89" localSheetId="16">PKC!#REF!</definedName>
    <definedName name="外部資料_89" localSheetId="7">PSR!#REF!</definedName>
    <definedName name="外部資料_89" localSheetId="2">紅綠燈!#REF!</definedName>
    <definedName name="外部資料_89" localSheetId="3">評比系統!$T$1:$T$33</definedName>
    <definedName name="外部資料_89" localSheetId="17">福邦!#REF!</definedName>
    <definedName name="外部資料_890" localSheetId="2">紅綠燈!#REF!</definedName>
    <definedName name="外部資料_891" localSheetId="2">紅綠燈!#REF!</definedName>
    <definedName name="外部資料_892" localSheetId="2">紅綠燈!#REF!</definedName>
    <definedName name="外部資料_894" localSheetId="2">紅綠燈!#REF!</definedName>
    <definedName name="外部資料_895" localSheetId="2">紅綠燈!#REF!</definedName>
    <definedName name="外部資料_897" localSheetId="2">紅綠燈!#REF!</definedName>
    <definedName name="外部資料_898" localSheetId="2">紅綠燈!#REF!</definedName>
    <definedName name="外部資料_899" localSheetId="2">紅綠燈!#REF!</definedName>
    <definedName name="外部資料_9" localSheetId="14">PKA!#REF!</definedName>
    <definedName name="外部資料_9" localSheetId="15">PKB!#REF!</definedName>
    <definedName name="外部資料_9" localSheetId="16">PKC!#REF!</definedName>
    <definedName name="外部資料_9" localSheetId="7">PSR!#REF!</definedName>
    <definedName name="外部資料_9" localSheetId="2">紅綠燈!#REF!</definedName>
    <definedName name="外部資料_9" localSheetId="3">評比系統!#REF!</definedName>
    <definedName name="外部資料_9" localSheetId="17">福邦!#REF!</definedName>
    <definedName name="外部資料_9" localSheetId="4">篩股系統!#REF!</definedName>
    <definedName name="外部資料_9" localSheetId="6">營收搶先報!#REF!</definedName>
    <definedName name="外部資料_90" localSheetId="14">PKA!#REF!</definedName>
    <definedName name="外部資料_90" localSheetId="15">PKB!#REF!</definedName>
    <definedName name="外部資料_90" localSheetId="16">PKC!#REF!</definedName>
    <definedName name="外部資料_90" localSheetId="7">PSR!#REF!</definedName>
    <definedName name="外部資料_90" localSheetId="2">紅綠燈!#REF!</definedName>
    <definedName name="外部資料_90" localSheetId="3">評比系統!$T$1:$T$33</definedName>
    <definedName name="外部資料_90" localSheetId="17">福邦!#REF!</definedName>
    <definedName name="外部資料_901" localSheetId="2">紅綠燈!#REF!</definedName>
    <definedName name="外部資料_902" localSheetId="2">紅綠燈!#REF!</definedName>
    <definedName name="外部資料_903" localSheetId="2">紅綠燈!#REF!</definedName>
    <definedName name="外部資料_905" localSheetId="2">紅綠燈!#REF!</definedName>
    <definedName name="外部資料_906" localSheetId="2">紅綠燈!#REF!</definedName>
    <definedName name="外部資料_907" localSheetId="2">紅綠燈!#REF!</definedName>
    <definedName name="外部資料_909" localSheetId="2">紅綠燈!#REF!</definedName>
    <definedName name="外部資料_91" localSheetId="14">PKA!#REF!</definedName>
    <definedName name="外部資料_91" localSheetId="15">PKB!#REF!</definedName>
    <definedName name="外部資料_91" localSheetId="16">PKC!#REF!</definedName>
    <definedName name="外部資料_91" localSheetId="7">PSR!#REF!</definedName>
    <definedName name="外部資料_91" localSheetId="3">評比系統!$T$1:$T$33</definedName>
    <definedName name="外部資料_91" localSheetId="17">福邦!#REF!</definedName>
    <definedName name="外部資料_910" localSheetId="2">紅綠燈!#REF!</definedName>
    <definedName name="外部資料_911" localSheetId="2">紅綠燈!#REF!</definedName>
    <definedName name="外部資料_913" localSheetId="2">紅綠燈!#REF!</definedName>
    <definedName name="外部資料_914" localSheetId="2">紅綠燈!#REF!</definedName>
    <definedName name="外部資料_915" localSheetId="2">紅綠燈!#REF!</definedName>
    <definedName name="外部資料_917" localSheetId="2">紅綠燈!#REF!</definedName>
    <definedName name="外部資料_918" localSheetId="2">紅綠燈!#REF!</definedName>
    <definedName name="外部資料_919" localSheetId="2">紅綠燈!#REF!</definedName>
    <definedName name="外部資料_92" localSheetId="14">PKA!#REF!</definedName>
    <definedName name="外部資料_92" localSheetId="15">PKB!#REF!</definedName>
    <definedName name="外部資料_92" localSheetId="16">PKC!#REF!</definedName>
    <definedName name="外部資料_92" localSheetId="7">PSR!#REF!</definedName>
    <definedName name="外部資料_92" localSheetId="2">紅綠燈!#REF!</definedName>
    <definedName name="外部資料_92" localSheetId="3">評比系統!$T$1:$T$33</definedName>
    <definedName name="外部資料_92" localSheetId="17">福邦!#REF!</definedName>
    <definedName name="外部資料_921" localSheetId="2">紅綠燈!#REF!</definedName>
    <definedName name="外部資料_922" localSheetId="2">紅綠燈!#REF!</definedName>
    <definedName name="外部資料_923" localSheetId="2">紅綠燈!#REF!</definedName>
    <definedName name="外部資料_925" localSheetId="2">紅綠燈!#REF!</definedName>
    <definedName name="外部資料_926" localSheetId="2">紅綠燈!#REF!</definedName>
    <definedName name="外部資料_927" localSheetId="2">紅綠燈!#REF!</definedName>
    <definedName name="外部資料_929" localSheetId="2">紅綠燈!#REF!</definedName>
    <definedName name="外部資料_93" localSheetId="14">PKA!#REF!</definedName>
    <definedName name="外部資料_93" localSheetId="15">PKB!#REF!</definedName>
    <definedName name="外部資料_93" localSheetId="16">PKC!#REF!</definedName>
    <definedName name="外部資料_93" localSheetId="7">PSR!#REF!</definedName>
    <definedName name="外部資料_93" localSheetId="2">紅綠燈!#REF!</definedName>
    <definedName name="外部資料_93" localSheetId="3">評比系統!$T$1:$T$33</definedName>
    <definedName name="外部資料_93" localSheetId="17">福邦!#REF!</definedName>
    <definedName name="外部資料_930" localSheetId="2">紅綠燈!#REF!</definedName>
    <definedName name="外部資料_931" localSheetId="2">紅綠燈!#REF!</definedName>
    <definedName name="外部資料_933" localSheetId="2">紅綠燈!#REF!</definedName>
    <definedName name="外部資料_934" localSheetId="2">紅綠燈!#REF!</definedName>
    <definedName name="外部資料_935" localSheetId="2">紅綠燈!#REF!</definedName>
    <definedName name="外部資料_937" localSheetId="2">紅綠燈!#REF!</definedName>
    <definedName name="外部資料_938" localSheetId="2">紅綠燈!#REF!</definedName>
    <definedName name="外部資料_94" localSheetId="14">PKA!#REF!</definedName>
    <definedName name="外部資料_94" localSheetId="15">PKB!#REF!</definedName>
    <definedName name="外部資料_94" localSheetId="16">PKC!#REF!</definedName>
    <definedName name="外部資料_94" localSheetId="7">PSR!#REF!</definedName>
    <definedName name="外部資料_94" localSheetId="2">紅綠燈!#REF!</definedName>
    <definedName name="外部資料_94" localSheetId="3">評比系統!$T$1:$T$33</definedName>
    <definedName name="外部資料_94" localSheetId="17">福邦!#REF!</definedName>
    <definedName name="外部資料_940" localSheetId="2">紅綠燈!#REF!</definedName>
    <definedName name="外部資料_941" localSheetId="2">紅綠燈!#REF!</definedName>
    <definedName name="外部資料_942" localSheetId="2">紅綠燈!#REF!</definedName>
    <definedName name="外部資料_944" localSheetId="2">紅綠燈!#REF!</definedName>
    <definedName name="外部資料_945" localSheetId="2">紅綠燈!#REF!</definedName>
    <definedName name="外部資料_946" localSheetId="2">紅綠燈!#REF!</definedName>
    <definedName name="外部資料_948" localSheetId="2">紅綠燈!#REF!</definedName>
    <definedName name="外部資料_949" localSheetId="2">紅綠燈!#REF!</definedName>
    <definedName name="外部資料_95" localSheetId="14">PKA!#REF!</definedName>
    <definedName name="外部資料_95" localSheetId="15">PKB!#REF!</definedName>
    <definedName name="外部資料_95" localSheetId="16">PKC!#REF!</definedName>
    <definedName name="外部資料_95" localSheetId="7">PSR!#REF!</definedName>
    <definedName name="外部資料_95" localSheetId="3">評比系統!$T$1:$T$33</definedName>
    <definedName name="外部資料_95" localSheetId="17">福邦!#REF!</definedName>
    <definedName name="外部資料_951" localSheetId="2">紅綠燈!#REF!</definedName>
    <definedName name="外部資料_952" localSheetId="2">紅綠燈!#REF!</definedName>
    <definedName name="外部資料_953" localSheetId="2">紅綠燈!#REF!</definedName>
    <definedName name="外部資料_955" localSheetId="2">紅綠燈!#REF!</definedName>
    <definedName name="外部資料_956" localSheetId="2">紅綠燈!#REF!</definedName>
    <definedName name="外部資料_957" localSheetId="2">紅綠燈!#REF!</definedName>
    <definedName name="外部資料_959" localSheetId="2">紅綠燈!#REF!</definedName>
    <definedName name="外部資料_96" localSheetId="14">PKA!#REF!</definedName>
    <definedName name="外部資料_96" localSheetId="15">PKB!#REF!</definedName>
    <definedName name="外部資料_96" localSheetId="16">PKC!#REF!</definedName>
    <definedName name="外部資料_96" localSheetId="7">PSR!#REF!</definedName>
    <definedName name="外部資料_96" localSheetId="2">紅綠燈!#REF!</definedName>
    <definedName name="外部資料_96" localSheetId="3">評比系統!$T$1:$T$33</definedName>
    <definedName name="外部資料_96" localSheetId="17">福邦!#REF!</definedName>
    <definedName name="外部資料_960" localSheetId="2">紅綠燈!#REF!</definedName>
    <definedName name="外部資料_961" localSheetId="2">紅綠燈!#REF!</definedName>
    <definedName name="外部資料_963" localSheetId="2">紅綠燈!#REF!</definedName>
    <definedName name="外部資料_964" localSheetId="2">紅綠燈!#REF!</definedName>
    <definedName name="外部資料_965" localSheetId="2">紅綠燈!#REF!</definedName>
    <definedName name="外部資料_967" localSheetId="2">紅綠燈!#REF!</definedName>
    <definedName name="外部資料_968" localSheetId="2">紅綠燈!#REF!</definedName>
    <definedName name="外部資料_969" localSheetId="2">紅綠燈!#REF!</definedName>
    <definedName name="外部資料_97" localSheetId="14">PKA!#REF!</definedName>
    <definedName name="外部資料_97" localSheetId="15">PKB!#REF!</definedName>
    <definedName name="外部資料_97" localSheetId="16">PKC!#REF!</definedName>
    <definedName name="外部資料_97" localSheetId="7">PSR!#REF!</definedName>
    <definedName name="外部資料_97" localSheetId="2">紅綠燈!#REF!</definedName>
    <definedName name="外部資料_97" localSheetId="3">評比系統!$T$1:$T$33</definedName>
    <definedName name="外部資料_97" localSheetId="17">福邦!#REF!</definedName>
    <definedName name="外部資料_971" localSheetId="2">紅綠燈!#REF!</definedName>
    <definedName name="外部資料_972" localSheetId="2">紅綠燈!#REF!</definedName>
    <definedName name="外部資料_973" localSheetId="2">紅綠燈!#REF!</definedName>
    <definedName name="外部資料_975" localSheetId="2">紅綠燈!#REF!</definedName>
    <definedName name="外部資料_976" localSheetId="2">紅綠燈!#REF!</definedName>
    <definedName name="外部資料_977" localSheetId="2">紅綠燈!#REF!</definedName>
    <definedName name="外部資料_979" localSheetId="2">紅綠燈!#REF!</definedName>
    <definedName name="外部資料_98" localSheetId="14">PKA!#REF!</definedName>
    <definedName name="外部資料_98" localSheetId="15">PKB!#REF!</definedName>
    <definedName name="外部資料_98" localSheetId="16">PKC!#REF!</definedName>
    <definedName name="外部資料_98" localSheetId="7">PSR!#REF!</definedName>
    <definedName name="外部資料_98" localSheetId="2">紅綠燈!#REF!</definedName>
    <definedName name="外部資料_98" localSheetId="3">評比系統!$T$1:$T$33</definedName>
    <definedName name="外部資料_98" localSheetId="17">福邦!#REF!</definedName>
    <definedName name="外部資料_980" localSheetId="2">紅綠燈!#REF!</definedName>
    <definedName name="外部資料_981" localSheetId="2">紅綠燈!#REF!</definedName>
    <definedName name="外部資料_983" localSheetId="2">紅綠燈!#REF!</definedName>
    <definedName name="外部資料_984" localSheetId="2">紅綠燈!#REF!</definedName>
    <definedName name="外部資料_985" localSheetId="2">紅綠燈!#REF!</definedName>
    <definedName name="外部資料_987" localSheetId="2">紅綠燈!#REF!</definedName>
    <definedName name="外部資料_988" localSheetId="2">紅綠燈!#REF!</definedName>
    <definedName name="外部資料_989" localSheetId="2">紅綠燈!#REF!</definedName>
    <definedName name="外部資料_99" localSheetId="14">PKA!#REF!</definedName>
    <definedName name="外部資料_99" localSheetId="15">PKB!#REF!</definedName>
    <definedName name="外部資料_99" localSheetId="16">PKC!#REF!</definedName>
    <definedName name="外部資料_99" localSheetId="7">PSR!#REF!</definedName>
    <definedName name="外部資料_99" localSheetId="2">紅綠燈!#REF!</definedName>
    <definedName name="外部資料_99" localSheetId="3">評比系統!$T$1:$T$33</definedName>
    <definedName name="外部資料_99" localSheetId="17">福邦!#REF!</definedName>
    <definedName name="外部資料_991" localSheetId="2">紅綠燈!#REF!</definedName>
    <definedName name="外部資料_992" localSheetId="2">紅綠燈!#REF!</definedName>
    <definedName name="外部資料_993" localSheetId="2">紅綠燈!#REF!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_1" localSheetId="3">評比系統!#REF!</definedName>
    <definedName name="持股分佈_2" localSheetId="3">評比系統!#REF!</definedName>
    <definedName name="持股分佈_38" localSheetId="4">篩股系統!$H$2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3" localSheetId="1">收盤價!#REF!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52511"/>
</workbook>
</file>

<file path=xl/calcChain.xml><?xml version="1.0" encoding="utf-8"?>
<calcChain xmlns="http://schemas.openxmlformats.org/spreadsheetml/2006/main">
  <c r="V21" i="1" l="1"/>
  <c r="U21" i="1"/>
  <c r="T21" i="1"/>
  <c r="S21" i="1"/>
  <c r="R21" i="1"/>
  <c r="Q21" i="1"/>
  <c r="P21" i="1"/>
  <c r="O21" i="1"/>
  <c r="V20" i="1"/>
  <c r="U20" i="1"/>
  <c r="T20" i="1"/>
  <c r="S20" i="1"/>
  <c r="R20" i="1"/>
  <c r="Q20" i="1"/>
  <c r="P20" i="1"/>
  <c r="O20" i="1"/>
  <c r="V19" i="1"/>
  <c r="U19" i="1"/>
  <c r="T19" i="1"/>
  <c r="S19" i="1"/>
  <c r="R19" i="1"/>
  <c r="Q19" i="1"/>
  <c r="P19" i="1"/>
  <c r="O19" i="1"/>
  <c r="V18" i="1"/>
  <c r="U18" i="1"/>
  <c r="T18" i="1"/>
  <c r="S18" i="1"/>
  <c r="R18" i="1"/>
  <c r="Q18" i="1"/>
  <c r="P18" i="1"/>
  <c r="O18" i="1"/>
  <c r="V15" i="1"/>
  <c r="U15" i="1"/>
  <c r="T15" i="1"/>
  <c r="S15" i="1"/>
  <c r="R15" i="1"/>
  <c r="Q15" i="1"/>
  <c r="P15" i="1"/>
  <c r="O15" i="1"/>
  <c r="V14" i="1"/>
  <c r="U14" i="1"/>
  <c r="T14" i="1"/>
  <c r="S14" i="1"/>
  <c r="R14" i="1"/>
  <c r="Q14" i="1"/>
  <c r="P14" i="1"/>
  <c r="O14" i="1"/>
  <c r="V13" i="1"/>
  <c r="U13" i="1"/>
  <c r="T13" i="1"/>
  <c r="S13" i="1"/>
  <c r="R13" i="1"/>
  <c r="Q13" i="1"/>
  <c r="P13" i="1"/>
  <c r="O13" i="1"/>
  <c r="V12" i="1"/>
  <c r="U12" i="1"/>
  <c r="T12" i="1"/>
  <c r="S12" i="1"/>
  <c r="R12" i="1"/>
  <c r="Q12" i="1"/>
  <c r="P12" i="1"/>
  <c r="O12" i="1"/>
  <c r="V11" i="1"/>
  <c r="U11" i="1"/>
  <c r="T11" i="1"/>
  <c r="S11" i="1"/>
  <c r="R11" i="1"/>
  <c r="Q11" i="1"/>
  <c r="P11" i="1"/>
  <c r="O11" i="1"/>
  <c r="V10" i="1"/>
  <c r="U10" i="1"/>
  <c r="T10" i="1"/>
  <c r="S10" i="1"/>
  <c r="R10" i="1"/>
  <c r="Q10" i="1"/>
  <c r="P10" i="1"/>
  <c r="O10" i="1"/>
  <c r="V9" i="1"/>
  <c r="U9" i="1"/>
  <c r="T9" i="1"/>
  <c r="S9" i="1"/>
  <c r="R9" i="1"/>
  <c r="Q9" i="1"/>
  <c r="P9" i="1"/>
  <c r="O9" i="1"/>
  <c r="V8" i="1"/>
  <c r="U8" i="1"/>
  <c r="T8" i="1"/>
  <c r="S8" i="1"/>
  <c r="R8" i="1"/>
  <c r="Q8" i="1"/>
  <c r="P8" i="1"/>
  <c r="O8" i="1"/>
  <c r="V7" i="1"/>
  <c r="U7" i="1"/>
  <c r="T7" i="1"/>
  <c r="S7" i="1"/>
  <c r="R7" i="1"/>
  <c r="Q7" i="1"/>
  <c r="P7" i="1"/>
  <c r="O7" i="1"/>
  <c r="V6" i="1"/>
  <c r="U6" i="1"/>
  <c r="T6" i="1"/>
  <c r="S6" i="1"/>
  <c r="R6" i="1"/>
  <c r="Q6" i="1"/>
  <c r="P6" i="1"/>
  <c r="O6" i="1"/>
  <c r="V5" i="1"/>
  <c r="U5" i="1"/>
  <c r="T5" i="1"/>
  <c r="S5" i="1"/>
  <c r="R5" i="1"/>
  <c r="Q5" i="1"/>
  <c r="P5" i="1"/>
  <c r="O5" i="1"/>
  <c r="V4" i="1"/>
  <c r="U4" i="1"/>
  <c r="T4" i="1"/>
  <c r="S4" i="1"/>
  <c r="R4" i="1"/>
  <c r="Q4" i="1"/>
  <c r="P4" i="1"/>
  <c r="O4" i="1"/>
  <c r="V3" i="1"/>
  <c r="U3" i="1"/>
  <c r="T3" i="1"/>
  <c r="S3" i="1"/>
  <c r="R3" i="1"/>
  <c r="Q3" i="1"/>
  <c r="P3" i="1"/>
  <c r="O3" i="1"/>
  <c r="E628" i="17"/>
  <c r="D628" i="17"/>
  <c r="D629" i="17"/>
  <c r="D630" i="17"/>
  <c r="D631" i="17"/>
  <c r="D1499" i="17"/>
  <c r="D1311" i="17"/>
  <c r="D1585" i="17"/>
  <c r="D513" i="17"/>
  <c r="D63" i="17"/>
  <c r="D1568" i="17"/>
  <c r="D1578" i="17"/>
  <c r="D732" i="17"/>
  <c r="D342" i="17"/>
  <c r="D99" i="17"/>
  <c r="D1545" i="17"/>
  <c r="D380" i="17"/>
  <c r="D1231" i="17"/>
  <c r="D497" i="17"/>
  <c r="D494" i="17"/>
  <c r="D65" i="17"/>
  <c r="D931" i="17"/>
  <c r="D1262" i="17"/>
  <c r="D267" i="17"/>
  <c r="D922" i="17"/>
  <c r="D1141" i="17"/>
  <c r="D1564" i="17"/>
  <c r="D1093" i="17"/>
  <c r="D464" i="17"/>
  <c r="D1394" i="17"/>
  <c r="D1474" i="17"/>
  <c r="D1497" i="17"/>
  <c r="D1574" i="17"/>
  <c r="D1492" i="17"/>
  <c r="D1136" i="17"/>
  <c r="D1285" i="17"/>
  <c r="D1411" i="17"/>
  <c r="D1406" i="17"/>
  <c r="D749" i="17"/>
  <c r="D1019" i="17"/>
  <c r="D1582" i="17"/>
  <c r="D828" i="17"/>
  <c r="D873" i="17"/>
  <c r="D56" i="17"/>
  <c r="D316" i="17"/>
  <c r="D759" i="17"/>
  <c r="D89" i="17"/>
  <c r="D1064" i="17"/>
  <c r="D1527" i="17"/>
  <c r="D1518" i="17"/>
  <c r="D1414" i="17"/>
  <c r="D831" i="17"/>
  <c r="D949" i="17"/>
  <c r="D1288" i="17"/>
  <c r="D1001" i="17"/>
  <c r="D553" i="17"/>
  <c r="D1075" i="17"/>
  <c r="D627" i="17"/>
  <c r="D697" i="17"/>
  <c r="D918" i="17"/>
  <c r="D429" i="17"/>
  <c r="D850" i="17"/>
  <c r="D1243" i="17"/>
  <c r="D916" i="17"/>
  <c r="D1340" i="17"/>
  <c r="D769" i="17"/>
  <c r="D1308" i="17"/>
  <c r="D1470" i="17"/>
  <c r="D906" i="17"/>
  <c r="D604" i="17"/>
  <c r="D1070" i="17"/>
  <c r="D457" i="17"/>
  <c r="D743" i="17"/>
  <c r="D689" i="17"/>
  <c r="D447" i="17"/>
  <c r="D1417" i="17"/>
  <c r="D981" i="17"/>
  <c r="D671" i="17"/>
  <c r="D1238" i="17"/>
  <c r="D1566" i="17"/>
  <c r="D107" i="17"/>
  <c r="D1113" i="17"/>
  <c r="D1573" i="17"/>
  <c r="D830" i="17"/>
  <c r="D601" i="17"/>
  <c r="D25" i="17"/>
  <c r="D1310" i="17"/>
  <c r="D416" i="17"/>
  <c r="D556" i="17"/>
  <c r="D633" i="17"/>
  <c r="D1391" i="17"/>
  <c r="D271" i="17"/>
  <c r="D1453" i="17"/>
  <c r="D258" i="17"/>
  <c r="D1385" i="17"/>
  <c r="D699" i="17"/>
  <c r="D817" i="17"/>
  <c r="D858" i="17"/>
  <c r="D1164" i="17"/>
  <c r="D612" i="17"/>
  <c r="D443" i="17"/>
  <c r="D1187" i="17"/>
  <c r="D1047" i="17"/>
  <c r="D1493" i="17"/>
  <c r="D989" i="17"/>
  <c r="D1066" i="17"/>
  <c r="D481" i="17"/>
  <c r="D1165" i="17"/>
  <c r="D219" i="17"/>
  <c r="D903" i="17"/>
  <c r="D729" i="17"/>
  <c r="D941" i="17"/>
  <c r="D1204" i="17"/>
  <c r="D91" i="17"/>
  <c r="D1513" i="17"/>
  <c r="D561" i="17"/>
  <c r="D350" i="17"/>
  <c r="D978" i="17"/>
  <c r="D144" i="17"/>
  <c r="D364" i="17"/>
  <c r="D622" i="17"/>
  <c r="D737" i="17"/>
  <c r="D659" i="17"/>
  <c r="D944" i="17"/>
  <c r="D930" i="17"/>
  <c r="D1048" i="17"/>
  <c r="D1142" i="17"/>
  <c r="D393" i="17"/>
  <c r="D459" i="17"/>
  <c r="D1038" i="17"/>
  <c r="D256" i="17"/>
  <c r="D1502" i="17"/>
  <c r="D640" i="17"/>
  <c r="D1087" i="17"/>
  <c r="D564" i="17"/>
  <c r="D1508" i="17"/>
  <c r="D21" i="17"/>
  <c r="D710" i="17"/>
  <c r="D1223" i="17"/>
  <c r="D274" i="17"/>
  <c r="D1114" i="17"/>
  <c r="D1579" i="17"/>
  <c r="D1501" i="17"/>
  <c r="D14" i="17"/>
  <c r="D181" i="17"/>
  <c r="D441" i="17"/>
  <c r="D18" i="17"/>
  <c r="D540" i="17"/>
  <c r="D1555" i="17"/>
  <c r="D1482" i="17"/>
  <c r="D478" i="17"/>
  <c r="D1560" i="17"/>
  <c r="D778" i="17"/>
  <c r="D448" i="17"/>
  <c r="D1581" i="17"/>
  <c r="D85" i="17"/>
  <c r="D458" i="17"/>
  <c r="D325" i="17"/>
  <c r="D1121" i="17"/>
  <c r="D1504" i="17"/>
  <c r="D116" i="17"/>
  <c r="D1375" i="17"/>
  <c r="D245" i="17"/>
  <c r="D545" i="17"/>
  <c r="D714" i="17"/>
  <c r="D1241" i="17"/>
  <c r="D468" i="17"/>
  <c r="D1102" i="17"/>
  <c r="D1456" i="17"/>
  <c r="D1529" i="17"/>
  <c r="D1147" i="17"/>
  <c r="D1540" i="17"/>
  <c r="D825" i="17"/>
  <c r="D389" i="17"/>
  <c r="D1111" i="17"/>
  <c r="D884" i="17"/>
  <c r="D1134" i="17"/>
  <c r="D905" i="17"/>
  <c r="D167" i="17"/>
  <c r="D98" i="17"/>
  <c r="D66" i="17"/>
  <c r="D508" i="17"/>
  <c r="D1152" i="17"/>
  <c r="D1240" i="17"/>
  <c r="D88" i="17"/>
  <c r="D192" i="17"/>
  <c r="D1549" i="17"/>
  <c r="D538" i="17"/>
  <c r="D492" i="17"/>
  <c r="D64" i="17"/>
  <c r="D554" i="17"/>
  <c r="D1150" i="17"/>
  <c r="D1261" i="17"/>
  <c r="D1229" i="17"/>
  <c r="D231" i="17"/>
  <c r="D1556" i="17"/>
  <c r="D106" i="17"/>
  <c r="D518" i="17"/>
  <c r="D1097" i="17"/>
  <c r="D1541" i="17"/>
  <c r="D1559" i="17"/>
  <c r="D1458" i="17"/>
  <c r="D1543" i="17"/>
  <c r="D484" i="17"/>
  <c r="D1530" i="17"/>
  <c r="D533" i="17"/>
  <c r="D449" i="17"/>
  <c r="D266" i="17"/>
  <c r="D76" i="17"/>
  <c r="D1462" i="17"/>
  <c r="D1039" i="17"/>
  <c r="D17" i="17"/>
  <c r="D7" i="17"/>
  <c r="D1488" i="17"/>
  <c r="D1151" i="17"/>
  <c r="D611" i="17"/>
  <c r="D173" i="17"/>
  <c r="D514" i="17"/>
  <c r="D1282" i="17"/>
  <c r="D713" i="17"/>
  <c r="D1546" i="17"/>
  <c r="D50" i="17"/>
  <c r="D615" i="17"/>
  <c r="D740" i="17"/>
  <c r="D1029" i="17"/>
  <c r="D285" i="17"/>
  <c r="D510" i="17"/>
  <c r="D1137" i="17"/>
  <c r="D3" i="17"/>
  <c r="D348" i="17"/>
  <c r="D366" i="17"/>
  <c r="D406" i="17"/>
  <c r="D677" i="17"/>
  <c r="D1153" i="17"/>
  <c r="D1216" i="17"/>
  <c r="D341" i="17"/>
  <c r="D923" i="17"/>
  <c r="D1162" i="17"/>
  <c r="D539" i="17"/>
  <c r="D1110" i="17"/>
  <c r="D594" i="17"/>
  <c r="D1369" i="17"/>
  <c r="D154" i="17"/>
  <c r="D542" i="17"/>
  <c r="D1167" i="17"/>
  <c r="D148" i="17"/>
  <c r="D686" i="17"/>
  <c r="D276" i="17"/>
  <c r="D910" i="17"/>
  <c r="D1315" i="17"/>
  <c r="D1157" i="17"/>
  <c r="D544" i="17"/>
  <c r="D1248" i="17"/>
  <c r="D24" i="17"/>
  <c r="D1419" i="17"/>
  <c r="D45" i="17"/>
  <c r="D473" i="17"/>
  <c r="D455" i="17"/>
  <c r="D1125" i="17"/>
  <c r="D472" i="17"/>
  <c r="D302" i="17"/>
  <c r="D500" i="17"/>
  <c r="D1237" i="17"/>
  <c r="D1319" i="17"/>
  <c r="D1506" i="17"/>
  <c r="D1535" i="17"/>
  <c r="D842" i="17"/>
  <c r="D1244" i="17"/>
  <c r="D412" i="17"/>
  <c r="D927" i="17"/>
  <c r="D1052" i="17"/>
  <c r="D1101" i="17"/>
  <c r="D504" i="17"/>
  <c r="D1044" i="17"/>
  <c r="D1525" i="17"/>
  <c r="D1309" i="17"/>
  <c r="D26" i="17"/>
  <c r="D1267" i="17"/>
  <c r="D135" i="17"/>
  <c r="D665" i="17"/>
  <c r="D1584" i="17"/>
  <c r="D643" i="17"/>
  <c r="D1505" i="17"/>
  <c r="D945" i="17"/>
  <c r="D71" i="17"/>
  <c r="D1112" i="17"/>
  <c r="D520" i="17"/>
  <c r="D16" i="17"/>
  <c r="D956" i="17"/>
  <c r="D252" i="17"/>
  <c r="D1199" i="17"/>
  <c r="D1096" i="17"/>
  <c r="D248" i="17"/>
  <c r="D396" i="17"/>
  <c r="D1131" i="17"/>
  <c r="D838" i="17"/>
  <c r="D349" i="17"/>
  <c r="D159" i="17"/>
  <c r="D1344" i="17"/>
  <c r="D1275" i="17"/>
  <c r="D264" i="17"/>
  <c r="D932" i="17"/>
  <c r="D392" i="17"/>
  <c r="D595" i="17"/>
  <c r="D1210" i="17"/>
  <c r="D176" i="17"/>
  <c r="D548" i="17"/>
  <c r="D440" i="17"/>
  <c r="D785" i="17"/>
  <c r="D108" i="17"/>
  <c r="D1403" i="17"/>
  <c r="D1059" i="17"/>
  <c r="D1389" i="17"/>
  <c r="D912" i="17"/>
  <c r="D810" i="17"/>
  <c r="D589" i="17"/>
  <c r="D6" i="17"/>
  <c r="D1491" i="17"/>
  <c r="D505" i="17"/>
  <c r="D516" i="17"/>
  <c r="D502" i="17"/>
  <c r="D868" i="17"/>
  <c r="D1146" i="17"/>
  <c r="D15" i="17"/>
  <c r="D1178" i="17"/>
  <c r="D383" i="17"/>
  <c r="D1390" i="17"/>
  <c r="D1489" i="17"/>
  <c r="D486" i="17"/>
  <c r="D995" i="17"/>
  <c r="D1552" i="17"/>
  <c r="D474" i="17"/>
  <c r="D169" i="17"/>
  <c r="D1158" i="17"/>
  <c r="D444" i="17"/>
  <c r="D681" i="17"/>
  <c r="D530" i="17"/>
  <c r="D1211" i="17"/>
  <c r="D214" i="17"/>
  <c r="D1287" i="17"/>
  <c r="D1583" i="17"/>
  <c r="D501" i="17"/>
  <c r="D445" i="17"/>
  <c r="D450" i="17"/>
  <c r="D946" i="17"/>
  <c r="D467" i="17"/>
  <c r="D10" i="17"/>
  <c r="D293" i="17"/>
  <c r="D287" i="17"/>
  <c r="D400" i="17"/>
  <c r="D9" i="17"/>
  <c r="D123" i="17"/>
  <c r="D281" i="17"/>
  <c r="D1365" i="17"/>
  <c r="D1160" i="17"/>
  <c r="D200" i="17"/>
  <c r="D535" i="17"/>
  <c r="D528" i="17"/>
  <c r="D395" i="17"/>
  <c r="D42" i="17"/>
  <c r="D532" i="17"/>
  <c r="D1013" i="17"/>
  <c r="D866" i="17"/>
  <c r="D30" i="17"/>
  <c r="D32" i="17"/>
  <c r="D27" i="17"/>
  <c r="D522" i="17"/>
  <c r="D1402" i="17"/>
  <c r="D1176" i="17"/>
  <c r="D527" i="17"/>
  <c r="D229" i="17"/>
  <c r="D1250" i="17"/>
  <c r="D39" i="17"/>
  <c r="D1475" i="17"/>
  <c r="D1407" i="17"/>
  <c r="D519" i="17"/>
  <c r="D235" i="17"/>
  <c r="D664" i="17"/>
  <c r="D662" i="17"/>
  <c r="D95" i="17"/>
  <c r="D326" i="17"/>
  <c r="D1281" i="17"/>
  <c r="D722" i="17"/>
  <c r="D330" i="17"/>
  <c r="D1576" i="17"/>
  <c r="D1381" i="17"/>
  <c r="D515" i="17"/>
  <c r="D261" i="17"/>
  <c r="D764" i="17"/>
  <c r="D914" i="17"/>
  <c r="D321" i="17"/>
  <c r="D634" i="17"/>
  <c r="D531" i="17"/>
  <c r="D1437" i="17"/>
  <c r="D523" i="17"/>
  <c r="D128" i="17"/>
  <c r="D503" i="17"/>
  <c r="D960" i="17"/>
  <c r="D23" i="17"/>
  <c r="D1247" i="17"/>
  <c r="D356" i="17"/>
  <c r="D1519" i="17"/>
  <c r="D1284" i="17"/>
  <c r="D347" i="17"/>
  <c r="D792" i="17"/>
  <c r="D253" i="17"/>
  <c r="D1035" i="17"/>
  <c r="D234" i="17"/>
  <c r="D415" i="17"/>
  <c r="D479" i="17"/>
  <c r="D881" i="17"/>
  <c r="D247" i="17"/>
  <c r="D1056" i="17"/>
  <c r="D668" i="17"/>
  <c r="D911" i="17"/>
  <c r="D80" i="17"/>
  <c r="D1086" i="17"/>
  <c r="D184" i="17"/>
  <c r="D1264" i="17"/>
  <c r="D41" i="17"/>
  <c r="D862" i="17"/>
  <c r="D1468" i="17"/>
  <c r="D1451" i="17"/>
  <c r="D1182" i="17"/>
  <c r="D1025" i="17"/>
  <c r="D434" i="17"/>
  <c r="D113" i="17"/>
  <c r="D86" i="17"/>
  <c r="D1154" i="17"/>
  <c r="D1030" i="17"/>
  <c r="D90" i="17"/>
  <c r="D239" i="17"/>
  <c r="D471" i="17"/>
  <c r="D1554" i="17"/>
  <c r="D1448" i="17"/>
  <c r="D194" i="17"/>
  <c r="D1360" i="17"/>
  <c r="D974" i="17"/>
  <c r="D1092" i="17"/>
  <c r="D188" i="17"/>
  <c r="D365" i="17"/>
  <c r="D1537" i="17"/>
  <c r="D268" i="17"/>
  <c r="D164" i="17"/>
  <c r="D653" i="17"/>
  <c r="D562" i="17"/>
  <c r="D67" i="17"/>
  <c r="D1138" i="17"/>
  <c r="D1266" i="17"/>
  <c r="D259" i="17"/>
  <c r="D889" i="17"/>
  <c r="D625" i="17"/>
  <c r="D1399" i="17"/>
  <c r="D711" i="17"/>
  <c r="D475" i="17"/>
  <c r="D1532" i="17"/>
  <c r="D79" i="17"/>
  <c r="D645" i="17"/>
  <c r="D811" i="17"/>
  <c r="D977" i="17"/>
  <c r="D746" i="17"/>
  <c r="D1273" i="17"/>
  <c r="D5" i="17"/>
  <c r="D1163" i="17"/>
  <c r="D1129" i="17"/>
  <c r="D307" i="17"/>
  <c r="D875" i="17"/>
  <c r="D74" i="17"/>
  <c r="D537" i="17"/>
  <c r="D249" i="17"/>
  <c r="D419" i="17"/>
  <c r="D888" i="17"/>
  <c r="D1500" i="17"/>
  <c r="D319" i="17"/>
  <c r="D44" i="17"/>
  <c r="D490" i="17"/>
  <c r="D1094" i="17"/>
  <c r="D31" i="17"/>
  <c r="D1020" i="17"/>
  <c r="D206" i="17"/>
  <c r="D1355" i="17"/>
  <c r="D1063" i="17"/>
  <c r="D354" i="17"/>
  <c r="D426" i="17"/>
  <c r="D1469" i="17"/>
  <c r="D1074" i="17"/>
  <c r="D512" i="17"/>
  <c r="D136" i="17"/>
  <c r="D454" i="17"/>
  <c r="D133" i="17"/>
  <c r="D470" i="17"/>
  <c r="D578" i="17"/>
  <c r="D488" i="17"/>
  <c r="D151" i="17"/>
  <c r="D185" i="17"/>
  <c r="D1329" i="17"/>
  <c r="D62" i="17"/>
  <c r="D1197" i="17"/>
  <c r="D1298" i="17"/>
  <c r="D452" i="17"/>
  <c r="D1479" i="17"/>
  <c r="D614" i="17"/>
  <c r="D1126" i="17"/>
  <c r="D1080" i="17"/>
  <c r="D1149" i="17"/>
  <c r="D1510" i="17"/>
  <c r="D114" i="17"/>
  <c r="D847" i="17"/>
  <c r="D427" i="17"/>
  <c r="D2" i="17"/>
  <c r="D49" i="17"/>
  <c r="D87" i="17"/>
  <c r="D942" i="17"/>
  <c r="D8" i="17"/>
  <c r="D1551" i="17"/>
  <c r="D957" i="17"/>
  <c r="D804" i="17"/>
  <c r="D1181" i="17"/>
  <c r="D70" i="17"/>
  <c r="D707" i="17"/>
  <c r="D649" i="17"/>
  <c r="D131" i="17"/>
  <c r="D353" i="17"/>
  <c r="D954" i="17"/>
  <c r="D255" i="17"/>
  <c r="D580" i="17"/>
  <c r="D328" i="17"/>
  <c r="D1132" i="17"/>
  <c r="D646" i="17"/>
  <c r="D118" i="17"/>
  <c r="D240" i="17"/>
  <c r="D1081" i="17"/>
  <c r="D635" i="17"/>
  <c r="D1256" i="17"/>
  <c r="D1463" i="17"/>
  <c r="D1201" i="17"/>
  <c r="D1580" i="17"/>
  <c r="D407" i="17"/>
  <c r="D58" i="17"/>
  <c r="D1539" i="17"/>
  <c r="D571" i="17"/>
  <c r="D442" i="17"/>
  <c r="D227" i="17"/>
  <c r="D727" i="17"/>
  <c r="D1485" i="17"/>
  <c r="D1528" i="17"/>
  <c r="D246" i="17"/>
  <c r="D1565" i="17"/>
  <c r="D243" i="17"/>
  <c r="D915" i="17"/>
  <c r="D233" i="17"/>
  <c r="D1431" i="17"/>
  <c r="D60" i="17"/>
  <c r="D1251" i="17"/>
  <c r="D476" i="17"/>
  <c r="D673" i="17"/>
  <c r="D152" i="17"/>
  <c r="D1207" i="17"/>
  <c r="D1382" i="17"/>
  <c r="D1183" i="17"/>
  <c r="D145" i="17"/>
  <c r="D599" i="17"/>
  <c r="D1186" i="17"/>
  <c r="D1024" i="17"/>
  <c r="D391" i="17"/>
  <c r="D93" i="17"/>
  <c r="D456" i="17"/>
  <c r="D280" i="17"/>
  <c r="D1363" i="17"/>
  <c r="D193" i="17"/>
  <c r="D241" i="17"/>
  <c r="D1380" i="17"/>
  <c r="D250" i="17"/>
  <c r="D1195" i="17"/>
  <c r="D1068" i="17"/>
  <c r="D549" i="17"/>
  <c r="D381" i="17"/>
  <c r="D1550" i="17"/>
  <c r="D480" i="17"/>
  <c r="D208" i="17"/>
  <c r="D1166" i="17"/>
  <c r="D72" i="17"/>
  <c r="D20" i="17"/>
  <c r="D1521" i="17"/>
  <c r="D871" i="17"/>
  <c r="D489" i="17"/>
  <c r="D22" i="17"/>
  <c r="D166" i="17"/>
  <c r="D1043" i="17"/>
  <c r="D1072" i="17"/>
  <c r="D617" i="17"/>
  <c r="D81" i="17"/>
  <c r="D816" i="17"/>
  <c r="D1192" i="17"/>
  <c r="D265" i="17"/>
  <c r="D1004" i="17"/>
  <c r="D1377" i="17"/>
  <c r="D1193" i="17"/>
  <c r="D569" i="17"/>
  <c r="D197" i="17"/>
  <c r="D1224" i="17"/>
  <c r="D329" i="17"/>
  <c r="D1194" i="17"/>
  <c r="D682" i="17"/>
  <c r="D1408" i="17"/>
  <c r="D28" i="17"/>
  <c r="D297" i="17"/>
  <c r="D1031" i="17"/>
  <c r="D244" i="17"/>
  <c r="D103" i="17"/>
  <c r="D178" i="17"/>
  <c r="D1168" i="17"/>
  <c r="D1465" i="17"/>
  <c r="D1135" i="17"/>
  <c r="D1034" i="17"/>
  <c r="D1222" i="17"/>
  <c r="D943" i="17"/>
  <c r="D410" i="17"/>
  <c r="D1071" i="17"/>
  <c r="D491" i="17"/>
  <c r="D517" i="17"/>
  <c r="D1085" i="17"/>
  <c r="D823" i="17"/>
  <c r="D1312" i="17"/>
  <c r="D1376" i="17"/>
  <c r="D187" i="17"/>
  <c r="D1359" i="17"/>
  <c r="D529" i="17"/>
  <c r="D343" i="17"/>
  <c r="D368" i="17"/>
  <c r="D551" i="17"/>
  <c r="D1326" i="17"/>
  <c r="D1069" i="17"/>
  <c r="D161" i="17"/>
  <c r="D1303" i="17"/>
  <c r="D584" i="17"/>
  <c r="D1320" i="17"/>
  <c r="D655" i="17"/>
  <c r="D955" i="17"/>
  <c r="D1279" i="17"/>
  <c r="D485" i="17"/>
  <c r="D639" i="17"/>
  <c r="D1010" i="17"/>
  <c r="D1228" i="17"/>
  <c r="D298" i="17"/>
  <c r="D134" i="17"/>
  <c r="D1397" i="17"/>
  <c r="D1079" i="17"/>
  <c r="D51" i="17"/>
  <c r="D1076" i="17"/>
  <c r="D934" i="17"/>
  <c r="D77" i="17"/>
  <c r="D180" i="17"/>
  <c r="D947" i="17"/>
  <c r="D897" i="17"/>
  <c r="D1325" i="17"/>
  <c r="D282" i="17"/>
  <c r="D859" i="17"/>
  <c r="D1558" i="17"/>
  <c r="D374" i="17"/>
  <c r="D493" i="17"/>
  <c r="D734" i="17"/>
  <c r="D637" i="17"/>
  <c r="D432" i="17"/>
  <c r="D798" i="17"/>
  <c r="D1334" i="17"/>
  <c r="D1420" i="17"/>
  <c r="D1544" i="17"/>
  <c r="D301" i="17"/>
  <c r="D958" i="17"/>
  <c r="D1049" i="17"/>
  <c r="D1526" i="17"/>
  <c r="D536" i="17"/>
  <c r="D680" i="17"/>
  <c r="D460" i="17"/>
  <c r="D168" i="17"/>
  <c r="D1373" i="17"/>
  <c r="D78" i="17"/>
  <c r="D1159" i="17"/>
  <c r="D937" i="17"/>
  <c r="D971" i="17"/>
  <c r="D1116" i="17"/>
  <c r="D170" i="17"/>
  <c r="D1398" i="17"/>
  <c r="D509" i="17"/>
  <c r="D1294" i="17"/>
  <c r="D11" i="17"/>
  <c r="D207" i="17"/>
  <c r="D1232" i="17"/>
  <c r="D437" i="17"/>
  <c r="D656" i="17"/>
  <c r="D1172" i="17"/>
  <c r="D272" i="17"/>
  <c r="D1060" i="17"/>
  <c r="D34" i="17"/>
  <c r="D786" i="17"/>
  <c r="D521" i="17"/>
  <c r="D712" i="17"/>
  <c r="D1371" i="17"/>
  <c r="D461" i="17"/>
  <c r="D260" i="17"/>
  <c r="D1189" i="17"/>
  <c r="D1534" i="17"/>
  <c r="D1516" i="17"/>
  <c r="D1440" i="17"/>
  <c r="D586" i="17"/>
  <c r="D1179" i="17"/>
  <c r="D292" i="17"/>
  <c r="D576" i="17"/>
  <c r="D1011" i="17"/>
  <c r="D506" i="17"/>
  <c r="D1026" i="17"/>
  <c r="D1078" i="17"/>
  <c r="D375" i="17"/>
  <c r="D1415" i="17"/>
  <c r="D1335" i="17"/>
  <c r="D1339" i="17"/>
  <c r="D1242" i="17"/>
  <c r="D602" i="17"/>
  <c r="D147" i="17"/>
  <c r="D336" i="17"/>
  <c r="D1133" i="17"/>
  <c r="D309" i="17"/>
  <c r="D482" i="17"/>
  <c r="D269" i="17"/>
  <c r="D788" i="17"/>
  <c r="D100" i="17"/>
  <c r="D1124" i="17"/>
  <c r="D84" i="17"/>
  <c r="D938" i="17"/>
  <c r="D1252" i="17"/>
  <c r="D43" i="17"/>
  <c r="D1258" i="17"/>
  <c r="D1184" i="17"/>
  <c r="D975" i="17"/>
  <c r="D1095" i="17"/>
  <c r="D1400" i="17"/>
  <c r="D1522" i="17"/>
  <c r="D462" i="17"/>
  <c r="D1230" i="17"/>
  <c r="D1322" i="17"/>
  <c r="D1361" i="17"/>
  <c r="D428" i="17"/>
  <c r="D591" i="17"/>
  <c r="D1028" i="17"/>
  <c r="D109" i="17"/>
  <c r="D855" i="17"/>
  <c r="D770" i="17"/>
  <c r="D12" i="17"/>
  <c r="D1321" i="17"/>
  <c r="D774" i="17"/>
  <c r="D306" i="17"/>
  <c r="D465" i="17"/>
  <c r="D357" i="17"/>
  <c r="D1313" i="17"/>
  <c r="D4" i="17"/>
  <c r="D453" i="17"/>
  <c r="D211" i="17"/>
  <c r="D920" i="17"/>
  <c r="D1177" i="17"/>
  <c r="D1452" i="17"/>
  <c r="D766" i="17"/>
  <c r="D59" i="17"/>
  <c r="D294" i="17"/>
  <c r="D177" i="17"/>
  <c r="D142" i="17"/>
  <c r="D33" i="17"/>
  <c r="D155" i="17"/>
  <c r="D379" i="17"/>
  <c r="D959" i="17"/>
  <c r="D965" i="17"/>
  <c r="D1289" i="17"/>
  <c r="D372" i="17"/>
  <c r="D150" i="17"/>
  <c r="D1105" i="17"/>
  <c r="D1280" i="17"/>
  <c r="D1553" i="17"/>
  <c r="D228" i="17"/>
  <c r="D1567" i="17"/>
  <c r="D1383" i="17"/>
  <c r="D1292" i="17"/>
  <c r="D404" i="17"/>
  <c r="D273" i="17"/>
  <c r="D1023" i="17"/>
  <c r="D1139" i="17"/>
  <c r="D283" i="17"/>
  <c r="D296" i="17"/>
  <c r="D223" i="17"/>
  <c r="D1317" i="17"/>
  <c r="D791" i="17"/>
  <c r="D1155" i="17"/>
  <c r="D313" i="17"/>
  <c r="D1353" i="17"/>
  <c r="D1005" i="17"/>
  <c r="D466" i="17"/>
  <c r="D1098" i="17"/>
  <c r="D507" i="17"/>
  <c r="D690" i="17"/>
  <c r="D13" i="17"/>
  <c r="D837" i="17"/>
  <c r="D1205" i="17"/>
  <c r="D772" i="17"/>
  <c r="D526" i="17"/>
  <c r="D647" i="17"/>
  <c r="D704" i="17"/>
  <c r="D840" i="17"/>
  <c r="D575" i="17"/>
  <c r="D1218" i="17"/>
  <c r="D1368" i="17"/>
  <c r="D75" i="17"/>
  <c r="D687" i="17"/>
  <c r="D776" i="17"/>
  <c r="D1257" i="17"/>
  <c r="D613" i="17"/>
  <c r="D1342" i="17"/>
  <c r="D805" i="17"/>
  <c r="D171" i="17"/>
  <c r="D299" i="17"/>
  <c r="D224" i="17"/>
  <c r="D951" i="17"/>
  <c r="D220" i="17"/>
  <c r="D1388" i="17"/>
  <c r="D498" i="17"/>
  <c r="D763" i="17"/>
  <c r="D288" i="17"/>
  <c r="D1254" i="17"/>
  <c r="D331" i="17"/>
  <c r="D572" i="17"/>
  <c r="D909" i="17"/>
  <c r="D1272" i="17"/>
  <c r="D73" i="17"/>
  <c r="D1366" i="17"/>
  <c r="D1327" i="17"/>
  <c r="D1418" i="17"/>
  <c r="D221" i="17"/>
  <c r="D1531" i="17"/>
  <c r="D1144" i="17"/>
  <c r="D182" i="17"/>
  <c r="D1511" i="17"/>
  <c r="D127" i="17"/>
  <c r="D1253" i="17"/>
  <c r="D162" i="17"/>
  <c r="D834" i="17"/>
  <c r="D1200" i="17"/>
  <c r="D411" i="17"/>
  <c r="D1358" i="17"/>
  <c r="D1524" i="17"/>
  <c r="D1227" i="17"/>
  <c r="D636" i="17"/>
  <c r="D172" i="17"/>
  <c r="D878" i="17"/>
  <c r="D1036" i="17"/>
  <c r="D895" i="17"/>
  <c r="D1409" i="17"/>
  <c r="D1405" i="17"/>
  <c r="D1260" i="17"/>
  <c r="D672" i="17"/>
  <c r="D936" i="17"/>
  <c r="D360" i="17"/>
  <c r="D160" i="17"/>
  <c r="D423" i="17"/>
  <c r="D310" i="17"/>
  <c r="D1349" i="17"/>
  <c r="D222" i="17"/>
  <c r="D928" i="17"/>
  <c r="D802" i="17"/>
  <c r="D420" i="17"/>
  <c r="D986" i="17"/>
  <c r="D1012" i="17"/>
  <c r="D1271" i="17"/>
  <c r="D583" i="17"/>
  <c r="D19" i="17"/>
  <c r="D836" i="17"/>
  <c r="D61" i="17"/>
  <c r="D216" i="17"/>
  <c r="D35" i="17"/>
  <c r="D593" i="17"/>
  <c r="D40" i="17"/>
  <c r="D1316" i="17"/>
  <c r="D125" i="17"/>
  <c r="D386" i="17"/>
  <c r="D790" i="17"/>
  <c r="D29" i="17"/>
  <c r="D1209" i="17"/>
  <c r="D422" i="17"/>
  <c r="D257" i="17"/>
  <c r="D119" i="17"/>
  <c r="D323" i="17"/>
  <c r="D632" i="17"/>
  <c r="D887" i="17"/>
  <c r="D1130" i="17"/>
  <c r="D1436" i="17"/>
  <c r="D1427" i="17"/>
  <c r="D405" i="17"/>
  <c r="D278" i="17"/>
  <c r="D1393" i="17"/>
  <c r="D418" i="17"/>
  <c r="D1446" i="17"/>
  <c r="D314" i="17"/>
  <c r="D111" i="17"/>
  <c r="D1220" i="17"/>
  <c r="D619" i="17"/>
  <c r="D511" i="17"/>
  <c r="D1379" i="17"/>
  <c r="D1570" i="17"/>
  <c r="D935" i="17"/>
  <c r="D581" i="17"/>
  <c r="D534" i="17"/>
  <c r="D966" i="17"/>
  <c r="D399" i="17"/>
  <c r="D48" i="17"/>
  <c r="D446" i="17"/>
  <c r="D1120" i="17"/>
  <c r="D1374" i="17"/>
  <c r="D433" i="17"/>
  <c r="D1572" i="17"/>
  <c r="D1445" i="17"/>
  <c r="D835" i="17"/>
  <c r="D893" i="17"/>
  <c r="D205" i="17"/>
  <c r="D723" i="17"/>
  <c r="D846" i="17"/>
  <c r="D115" i="17"/>
  <c r="D340" i="17"/>
  <c r="D574" i="17"/>
  <c r="D225" i="17"/>
  <c r="D47" i="17"/>
  <c r="D1473" i="17"/>
  <c r="D760" i="17"/>
  <c r="D845" i="17"/>
  <c r="D289" i="17"/>
  <c r="D37" i="17"/>
  <c r="D195" i="17"/>
  <c r="D82" i="17"/>
  <c r="D756" i="17"/>
  <c r="D38" i="17"/>
  <c r="D102" i="17"/>
  <c r="D1457" i="17"/>
  <c r="D1346" i="17"/>
  <c r="D163" i="17"/>
  <c r="D1099" i="17"/>
  <c r="D105" i="17"/>
  <c r="D237" i="17"/>
  <c r="D1123" i="17"/>
  <c r="D731" i="17"/>
  <c r="D218" i="17"/>
  <c r="D1103" i="17"/>
  <c r="D439" i="17"/>
  <c r="D929" i="17"/>
  <c r="D110" i="17"/>
  <c r="D158" i="17"/>
  <c r="D525" i="17"/>
  <c r="D962" i="17"/>
  <c r="D832" i="17"/>
  <c r="D156" i="17"/>
  <c r="D117" i="17"/>
  <c r="D270" i="17"/>
  <c r="D69" i="17"/>
  <c r="D1472" i="17"/>
  <c r="D1512" i="17"/>
  <c r="D735" i="17"/>
  <c r="D796" i="17"/>
  <c r="D767" i="17"/>
  <c r="D865" i="17"/>
  <c r="D1003" i="17"/>
  <c r="D1459" i="17"/>
  <c r="D1269" i="17"/>
  <c r="D976" i="17"/>
  <c r="D1296" i="17"/>
  <c r="D1170" i="17"/>
  <c r="D215" i="17"/>
  <c r="D1425" i="17"/>
  <c r="D198" i="17"/>
  <c r="D550" i="17"/>
  <c r="D1148" i="17"/>
  <c r="D799" i="17"/>
  <c r="D232" i="17"/>
  <c r="D579" i="17"/>
  <c r="D317" i="17"/>
  <c r="D1426" i="17"/>
  <c r="D275" i="17"/>
  <c r="D950" i="17"/>
  <c r="D417" i="17"/>
  <c r="D1217" i="17"/>
  <c r="D573" i="17"/>
  <c r="D657" i="17"/>
  <c r="D242" i="17"/>
  <c r="D685" i="17"/>
  <c r="D277" i="17"/>
  <c r="D885" i="17"/>
  <c r="D1014" i="17"/>
  <c r="D814" i="17"/>
  <c r="D1410" i="17"/>
  <c r="D1173" i="17"/>
  <c r="D709" i="17"/>
  <c r="D499" i="17"/>
  <c r="D254" i="17"/>
  <c r="D322" i="17"/>
  <c r="D692" i="17"/>
  <c r="D996" i="17"/>
  <c r="D724" i="17"/>
  <c r="D822" i="17"/>
  <c r="D451" i="17"/>
  <c r="D1449" i="17"/>
  <c r="D939" i="17"/>
  <c r="D308" i="17"/>
  <c r="D1563" i="17"/>
  <c r="D1259" i="17"/>
  <c r="D370" i="17"/>
  <c r="D876" i="17"/>
  <c r="D397" i="17"/>
  <c r="D570" i="17"/>
  <c r="D359" i="17"/>
  <c r="D1145" i="17"/>
  <c r="D750" i="17"/>
  <c r="D874" i="17"/>
  <c r="D213" i="17"/>
  <c r="D463" i="17"/>
  <c r="D409" i="17"/>
  <c r="D83" i="17"/>
  <c r="D1057" i="17"/>
  <c r="D948" i="17"/>
  <c r="D809" i="17"/>
  <c r="D1429" i="17"/>
  <c r="D1461" i="17"/>
  <c r="D736" i="17"/>
  <c r="D701" i="17"/>
  <c r="D1191" i="17"/>
  <c r="D880" i="17"/>
  <c r="D496" i="17"/>
  <c r="D1341" i="17"/>
  <c r="D1042" i="17"/>
  <c r="D715" i="17"/>
  <c r="D212" i="17"/>
  <c r="D970" i="17"/>
  <c r="D1245" i="17"/>
  <c r="D344" i="17"/>
  <c r="D333" i="17"/>
  <c r="D1065" i="17"/>
  <c r="D559" i="17"/>
  <c r="D968" i="17"/>
  <c r="D1517" i="17"/>
  <c r="D1143" i="17"/>
  <c r="D1364" i="17"/>
  <c r="D398" i="17"/>
  <c r="D1318" i="17"/>
  <c r="D401" i="17"/>
  <c r="D990" i="17"/>
  <c r="D230" i="17"/>
  <c r="D658" i="17"/>
  <c r="D694" i="17"/>
  <c r="D1239" i="17"/>
  <c r="D691" i="17"/>
  <c r="D68" i="17"/>
  <c r="D1332" i="17"/>
  <c r="D1212" i="17"/>
  <c r="D1548" i="17"/>
  <c r="D337" i="17"/>
  <c r="D238" i="17"/>
  <c r="D469" i="17"/>
  <c r="D324" i="17"/>
  <c r="D867" i="17"/>
  <c r="D104" i="17"/>
  <c r="D982" i="17"/>
  <c r="D1454" i="17"/>
  <c r="D1423" i="17"/>
  <c r="D149" i="17"/>
  <c r="D1286" i="17"/>
  <c r="D623" i="17"/>
  <c r="D1118" i="17"/>
  <c r="D1091" i="17"/>
  <c r="D1392" i="17"/>
  <c r="D262" i="17"/>
  <c r="D1175" i="17"/>
  <c r="D146" i="17"/>
  <c r="D779" i="17"/>
  <c r="D717" i="17"/>
  <c r="D305" i="17"/>
  <c r="D1255" i="17"/>
  <c r="D1569" i="17"/>
  <c r="D204" i="17"/>
  <c r="D413" i="17"/>
  <c r="D967" i="17"/>
  <c r="D1471" i="17"/>
  <c r="D300" i="17"/>
  <c r="D1433" i="17"/>
  <c r="D1561" i="17"/>
  <c r="D839" i="17"/>
  <c r="D652" i="17"/>
  <c r="D408" i="17"/>
  <c r="D1128" i="17"/>
  <c r="D541" i="17"/>
  <c r="D196" i="17"/>
  <c r="D53" i="17"/>
  <c r="D414" i="17"/>
  <c r="D606" i="17"/>
  <c r="D139" i="17"/>
  <c r="D730" i="17"/>
  <c r="D678" i="17"/>
  <c r="D361" i="17"/>
  <c r="D189" i="17"/>
  <c r="D674" i="17"/>
  <c r="D552" i="17"/>
  <c r="D191" i="17"/>
  <c r="D290" i="17"/>
  <c r="D853" i="17"/>
  <c r="D1215" i="17"/>
  <c r="D1422" i="17"/>
  <c r="D1514" i="17"/>
  <c r="D648" i="17"/>
  <c r="D165" i="17"/>
  <c r="D698" i="17"/>
  <c r="D899" i="17"/>
  <c r="D1180" i="17"/>
  <c r="D394" i="17"/>
  <c r="D661" i="17"/>
  <c r="D1372" i="17"/>
  <c r="D979" i="17"/>
  <c r="D1140" i="17"/>
  <c r="D157" i="17"/>
  <c r="D96" i="17"/>
  <c r="D129" i="17"/>
  <c r="D696" i="17"/>
  <c r="D1362" i="17"/>
  <c r="D879" i="17"/>
  <c r="D390" i="17"/>
  <c r="D800" i="17"/>
  <c r="D1467" i="17"/>
  <c r="D387" i="17"/>
  <c r="D1557" i="17"/>
  <c r="D1307" i="17"/>
  <c r="D183" i="17"/>
  <c r="D806" i="17"/>
  <c r="D667" i="17"/>
  <c r="D121" i="17"/>
  <c r="D1460" i="17"/>
  <c r="D1331" i="17"/>
  <c r="D1169" i="17"/>
  <c r="D431" i="17"/>
  <c r="D378" i="17"/>
  <c r="D1196" i="17"/>
  <c r="D1503" i="17"/>
  <c r="D860" i="17"/>
  <c r="D654" i="17"/>
  <c r="D983" i="17"/>
  <c r="D1413" i="17"/>
  <c r="D1439" i="17"/>
  <c r="D1246" i="17"/>
  <c r="D543" i="17"/>
  <c r="D1006" i="17"/>
  <c r="D833" i="17"/>
  <c r="D1161" i="17"/>
  <c r="D1490" i="17"/>
  <c r="D1050" i="17"/>
  <c r="D1018" i="17"/>
  <c r="D1276" i="17"/>
  <c r="D768" i="17"/>
  <c r="D1002" i="17"/>
  <c r="D702" i="17"/>
  <c r="D312" i="17"/>
  <c r="D1156" i="17"/>
  <c r="D202" i="17"/>
  <c r="D355" i="17"/>
  <c r="D1108" i="17"/>
  <c r="D175" i="17"/>
  <c r="D1277" i="17"/>
  <c r="D1401" i="17"/>
  <c r="D179" i="17"/>
  <c r="D1538" i="17"/>
  <c r="D609" i="17"/>
  <c r="D1107" i="17"/>
  <c r="D1509" i="17"/>
  <c r="D1350" i="17"/>
  <c r="D1328" i="17"/>
  <c r="D891" i="17"/>
  <c r="D1022" i="17"/>
  <c r="D403" i="17"/>
  <c r="D1265" i="17"/>
  <c r="D101" i="17"/>
  <c r="D1090" i="17"/>
  <c r="D279" i="17"/>
  <c r="D984" i="17"/>
  <c r="D132" i="17"/>
  <c r="D402" i="17"/>
  <c r="D130" i="17"/>
  <c r="D829" i="17"/>
  <c r="D1045" i="17"/>
  <c r="D695" i="17"/>
  <c r="D1301" i="17"/>
  <c r="D487" i="17"/>
  <c r="D384" i="17"/>
  <c r="D1037" i="17"/>
  <c r="D1270" i="17"/>
  <c r="D793" i="17"/>
  <c r="D693" i="17"/>
  <c r="D621" i="17"/>
  <c r="D1536" i="17"/>
  <c r="D1575" i="17"/>
  <c r="D1084" i="17"/>
  <c r="D741" i="17"/>
  <c r="D1021" i="17"/>
  <c r="D849" i="17"/>
  <c r="D1067" i="17"/>
  <c r="D1476" i="17"/>
  <c r="D1547" i="17"/>
  <c r="D327" i="17"/>
  <c r="D362" i="17"/>
  <c r="D1027" i="17"/>
  <c r="D728" i="17"/>
  <c r="D608" i="17"/>
  <c r="D1478" i="17"/>
  <c r="D1249" i="17"/>
  <c r="D546" i="17"/>
  <c r="D997" i="17"/>
  <c r="D675" i="17"/>
  <c r="D818" i="17"/>
  <c r="D706" i="17"/>
  <c r="D872" i="17"/>
  <c r="D641" i="17"/>
  <c r="D369" i="17"/>
  <c r="D733" i="17"/>
  <c r="D186" i="17"/>
  <c r="D1221" i="17"/>
  <c r="D46" i="17"/>
  <c r="D1533" i="17"/>
  <c r="D688" i="17"/>
  <c r="D1438" i="17"/>
  <c r="D864" i="17"/>
  <c r="D592" i="17"/>
  <c r="D226" i="17"/>
  <c r="D126" i="17"/>
  <c r="D1032" i="17"/>
  <c r="D782" i="17"/>
  <c r="D861" i="17"/>
  <c r="D869" i="17"/>
  <c r="D953" i="17"/>
  <c r="D1562" i="17"/>
  <c r="D1477" i="17"/>
  <c r="D1202" i="17"/>
  <c r="D933" i="17"/>
  <c r="D385" i="17"/>
  <c r="D773" i="17"/>
  <c r="D371" i="17"/>
  <c r="D985" i="17"/>
  <c r="D1324" i="17"/>
  <c r="D753" i="17"/>
  <c r="D1198" i="17"/>
  <c r="D1008" i="17"/>
  <c r="D894" i="17"/>
  <c r="D721" i="17"/>
  <c r="D190" i="17"/>
  <c r="D1443" i="17"/>
  <c r="D153" i="17"/>
  <c r="D708" i="17"/>
  <c r="D1515" i="17"/>
  <c r="D425" i="17"/>
  <c r="D1127" i="17"/>
  <c r="D684" i="17"/>
  <c r="D1354" i="17"/>
  <c r="D1542" i="17"/>
  <c r="D843" i="17"/>
  <c r="D719" i="17"/>
  <c r="D36" i="17"/>
  <c r="D972" i="17"/>
  <c r="D1523" i="17"/>
  <c r="D558" i="17"/>
  <c r="D1106" i="17"/>
  <c r="D1171" i="17"/>
  <c r="D863" i="17"/>
  <c r="D1323" i="17"/>
  <c r="D877" i="17"/>
  <c r="D992" i="17"/>
  <c r="D771" i="17"/>
  <c r="D92" i="17"/>
  <c r="D565" i="17"/>
  <c r="D610" i="17"/>
  <c r="D373" i="17"/>
  <c r="D1055" i="17"/>
  <c r="D854" i="17"/>
  <c r="D199" i="17"/>
  <c r="D1174" i="17"/>
  <c r="D524" i="17"/>
  <c r="D605" i="17"/>
  <c r="D311" i="17"/>
  <c r="D1274" i="17"/>
  <c r="D358" i="17"/>
  <c r="D797" i="17"/>
  <c r="D700" i="17"/>
  <c r="D848" i="17"/>
  <c r="D203" i="17"/>
  <c r="D1386" i="17"/>
  <c r="D1208" i="17"/>
  <c r="D284" i="17"/>
  <c r="D683" i="17"/>
  <c r="D747" i="17"/>
  <c r="D925" i="17"/>
  <c r="D1484" i="17"/>
  <c r="D898" i="17"/>
  <c r="D315" i="17"/>
  <c r="D120" i="17"/>
  <c r="D607" i="17"/>
  <c r="D483" i="17"/>
  <c r="D1487" i="17"/>
  <c r="D1185" i="17"/>
  <c r="D1278" i="17"/>
  <c r="D1234" i="17"/>
  <c r="D568" i="17"/>
  <c r="D1444" i="17"/>
  <c r="D1480" i="17"/>
  <c r="D346" i="17"/>
  <c r="D1017" i="17"/>
  <c r="D597" i="17"/>
  <c r="D961" i="17"/>
  <c r="D1122" i="17"/>
  <c r="D295" i="17"/>
  <c r="D676" i="17"/>
  <c r="D917" i="17"/>
  <c r="D999" i="17"/>
  <c r="D57" i="17"/>
  <c r="D1370" i="17"/>
  <c r="D1295" i="17"/>
  <c r="D1337" i="17"/>
  <c r="D424" i="17"/>
  <c r="D748" i="17"/>
  <c r="D780" i="17"/>
  <c r="D1351" i="17"/>
  <c r="D1412" i="17"/>
  <c r="D560" i="17"/>
  <c r="D97" i="17"/>
  <c r="D286" i="17"/>
  <c r="D980" i="17"/>
  <c r="D1348" i="17"/>
  <c r="D757" i="17"/>
  <c r="D1054" i="17"/>
  <c r="D1486" i="17"/>
  <c r="D201" i="17"/>
  <c r="D1053" i="17"/>
  <c r="D1268" i="17"/>
  <c r="D827" i="17"/>
  <c r="D138" i="17"/>
  <c r="D1291" i="17"/>
  <c r="D557" i="17"/>
  <c r="D587" i="17"/>
  <c r="D1051" i="17"/>
  <c r="D969" i="17"/>
  <c r="D438" i="17"/>
  <c r="D1434" i="17"/>
  <c r="D1498" i="17"/>
  <c r="D1347" i="17"/>
  <c r="D644" i="17"/>
  <c r="D1455" i="17"/>
  <c r="D1333" i="17"/>
  <c r="D590" i="17"/>
  <c r="D1432" i="17"/>
  <c r="D1007" i="17"/>
  <c r="D1062" i="17"/>
  <c r="D857" i="17"/>
  <c r="D122" i="17"/>
  <c r="D616" i="17"/>
  <c r="D1206" i="17"/>
  <c r="D566" i="17"/>
  <c r="D1115" i="17"/>
  <c r="D716" i="17"/>
  <c r="D896" i="17"/>
  <c r="D886" i="17"/>
  <c r="D1387" i="17"/>
  <c r="D650" i="17"/>
  <c r="D376" i="17"/>
  <c r="D1424" i="17"/>
  <c r="D988" i="17"/>
  <c r="D1213" i="17"/>
  <c r="D745" i="17"/>
  <c r="D1236" i="17"/>
  <c r="D304" i="17"/>
  <c r="D263" i="17"/>
  <c r="D351" i="17"/>
  <c r="D801" i="17"/>
  <c r="D744" i="17"/>
  <c r="D821" i="17"/>
  <c r="D844" i="17"/>
  <c r="D1442" i="17"/>
  <c r="D1283" i="17"/>
  <c r="D1100" i="17"/>
  <c r="D751" i="17"/>
  <c r="D819" i="17"/>
  <c r="D338" i="17"/>
  <c r="D52" i="17"/>
  <c r="D739" i="17"/>
  <c r="D217" i="17"/>
  <c r="D1226" i="17"/>
  <c r="D236" i="17"/>
  <c r="D1367" i="17"/>
  <c r="D1040" i="17"/>
  <c r="D209" i="17"/>
  <c r="D339" i="17"/>
  <c r="D1396" i="17"/>
  <c r="D762" i="17"/>
  <c r="D1343" i="17"/>
  <c r="D1507" i="17"/>
  <c r="D1089" i="17"/>
  <c r="D883" i="17"/>
  <c r="D345" i="17"/>
  <c r="D1356" i="17"/>
  <c r="D1077" i="17"/>
  <c r="D991" i="17"/>
  <c r="D1336" i="17"/>
  <c r="D663" i="17"/>
  <c r="D577" i="17"/>
  <c r="D1104" i="17"/>
  <c r="D998" i="17"/>
  <c r="D807" i="17"/>
  <c r="D679" i="17"/>
  <c r="D666" i="17"/>
  <c r="D1352" i="17"/>
  <c r="D1435" i="17"/>
  <c r="D900" i="17"/>
  <c r="D1203" i="17"/>
  <c r="D787" i="17"/>
  <c r="D1466" i="17"/>
  <c r="D963" i="17"/>
  <c r="D582" i="17"/>
  <c r="D775" i="17"/>
  <c r="D547" i="17"/>
  <c r="D382" i="17"/>
  <c r="D1483" i="17"/>
  <c r="D94" i="17"/>
  <c r="D1520" i="17"/>
  <c r="D892" i="17"/>
  <c r="D1384" i="17"/>
  <c r="D112" i="17"/>
  <c r="D718" i="17"/>
  <c r="D738" i="17"/>
  <c r="D1083" i="17"/>
  <c r="D596" i="17"/>
  <c r="D1041" i="17"/>
  <c r="D1305" i="17"/>
  <c r="D812" i="17"/>
  <c r="D904" i="17"/>
  <c r="D660" i="17"/>
  <c r="D367" i="17"/>
  <c r="D1190" i="17"/>
  <c r="D638" i="17"/>
  <c r="D141" i="17"/>
  <c r="D902" i="17"/>
  <c r="D421" i="17"/>
  <c r="D803" i="17"/>
  <c r="D851" i="17"/>
  <c r="D377" i="17"/>
  <c r="D1290" i="17"/>
  <c r="D143" i="17"/>
  <c r="D1015" i="17"/>
  <c r="D754" i="17"/>
  <c r="D1119" i="17"/>
  <c r="D624" i="17"/>
  <c r="D921" i="17"/>
  <c r="D973" i="17"/>
  <c r="D1297" i="17"/>
  <c r="D588" i="17"/>
  <c r="D1016" i="17"/>
  <c r="D924" i="17"/>
  <c r="D765" i="17"/>
  <c r="D174" i="17"/>
  <c r="D563" i="17"/>
  <c r="D783" i="17"/>
  <c r="D555" i="17"/>
  <c r="D952" i="17"/>
  <c r="D813" i="17"/>
  <c r="D352" i="17"/>
  <c r="D1345" i="17"/>
  <c r="D1009" i="17"/>
  <c r="D436" i="17"/>
  <c r="D794" i="17"/>
  <c r="D334" i="17"/>
  <c r="D777" i="17"/>
  <c r="D720" i="17"/>
  <c r="D1117" i="17"/>
  <c r="D1299" i="17"/>
  <c r="D642" i="17"/>
  <c r="D882" i="17"/>
  <c r="D1430" i="17"/>
  <c r="D600" i="17"/>
  <c r="D210" i="17"/>
  <c r="D890" i="17"/>
  <c r="D567" i="17"/>
  <c r="D726" i="17"/>
  <c r="D1441" i="17"/>
  <c r="D670" i="17"/>
  <c r="D755" i="17"/>
  <c r="D1378" i="17"/>
  <c r="D725" i="17"/>
  <c r="D1428" i="17"/>
  <c r="D1293" i="17"/>
  <c r="D824" i="17"/>
  <c r="D705" i="17"/>
  <c r="D620" i="17"/>
  <c r="D993" i="17"/>
  <c r="D626" i="17"/>
  <c r="D477" i="17"/>
  <c r="D1233" i="17"/>
  <c r="D603" i="17"/>
  <c r="D1188" i="17"/>
  <c r="D1058" i="17"/>
  <c r="D1000" i="17"/>
  <c r="D808" i="17"/>
  <c r="D1219" i="17"/>
  <c r="D1306" i="17"/>
  <c r="D901" i="17"/>
  <c r="D430" i="17"/>
  <c r="D856" i="17"/>
  <c r="D1450" i="17"/>
  <c r="D758" i="17"/>
  <c r="D820" i="17"/>
  <c r="D1314" i="17"/>
  <c r="D1330" i="17"/>
  <c r="D1494" i="17"/>
  <c r="D363" i="17"/>
  <c r="D1464" i="17"/>
  <c r="D1073" i="17"/>
  <c r="D55" i="17"/>
  <c r="D140" i="17"/>
  <c r="D318" i="17"/>
  <c r="D815" i="17"/>
  <c r="D1225" i="17"/>
  <c r="D1404" i="17"/>
  <c r="D251" i="17"/>
  <c r="D908" i="17"/>
  <c r="D841" i="17"/>
  <c r="D781" i="17"/>
  <c r="D1481" i="17"/>
  <c r="D1447" i="17"/>
  <c r="D964" i="17"/>
  <c r="D987" i="17"/>
  <c r="D669" i="17"/>
  <c r="D852" i="17"/>
  <c r="D1046" i="17"/>
  <c r="D124" i="17"/>
  <c r="D291" i="17"/>
  <c r="D703" i="17"/>
  <c r="D926" i="17"/>
  <c r="D618" i="17"/>
  <c r="D761" i="17"/>
  <c r="D994" i="17"/>
  <c r="D585" i="17"/>
  <c r="D1235" i="17"/>
  <c r="D54" i="17"/>
  <c r="D435" i="17"/>
  <c r="D1416" i="17"/>
  <c r="D752" i="17"/>
  <c r="D784" i="17"/>
  <c r="D303" i="17"/>
  <c r="D388" i="17"/>
  <c r="D332" i="17"/>
  <c r="D870" i="17"/>
  <c r="D1061" i="17"/>
  <c r="D907" i="17"/>
  <c r="D1357" i="17"/>
  <c r="D598" i="17"/>
  <c r="D789" i="17"/>
  <c r="D1263" i="17"/>
  <c r="D335" i="17"/>
  <c r="D137" i="17"/>
  <c r="D1300" i="17"/>
  <c r="D1421" i="17"/>
  <c r="D651" i="17"/>
  <c r="D940" i="17"/>
  <c r="A2" i="15"/>
  <c r="B288" i="13" l="1"/>
  <c r="A288" i="13"/>
  <c r="B493" i="13"/>
  <c r="A493" i="13"/>
  <c r="B666" i="13"/>
  <c r="A666" i="13"/>
  <c r="B617" i="13"/>
  <c r="A617" i="13"/>
  <c r="B407" i="13"/>
  <c r="A407" i="13"/>
  <c r="B664" i="13"/>
  <c r="A664" i="13"/>
  <c r="B601" i="13"/>
  <c r="A601" i="13"/>
  <c r="B574" i="13"/>
  <c r="A574" i="13"/>
  <c r="B225" i="13"/>
  <c r="A225" i="13"/>
  <c r="B347" i="13"/>
  <c r="A347" i="13"/>
  <c r="B451" i="13"/>
  <c r="A451" i="13"/>
  <c r="B420" i="13"/>
  <c r="A420" i="13"/>
  <c r="B589" i="13"/>
  <c r="A589" i="13"/>
  <c r="B334" i="13"/>
  <c r="A334" i="13"/>
  <c r="B35" i="13"/>
  <c r="A35" i="13"/>
  <c r="B657" i="13"/>
  <c r="A657" i="13"/>
  <c r="B532" i="13"/>
  <c r="A532" i="13"/>
  <c r="B75" i="13"/>
  <c r="A75" i="13"/>
  <c r="B351" i="13"/>
  <c r="A351" i="13"/>
  <c r="B507" i="13"/>
  <c r="A507" i="13"/>
  <c r="B455" i="13"/>
  <c r="A455" i="13"/>
  <c r="B430" i="13"/>
  <c r="A430" i="13"/>
  <c r="B294" i="13"/>
  <c r="A294" i="13"/>
  <c r="B595" i="13"/>
  <c r="A595" i="13"/>
  <c r="B72" i="13"/>
  <c r="A72" i="13"/>
  <c r="B398" i="13"/>
  <c r="A398" i="13"/>
  <c r="B56" i="13"/>
  <c r="A56" i="13"/>
  <c r="B606" i="13"/>
  <c r="A606" i="13"/>
  <c r="B366" i="13"/>
  <c r="A366" i="13"/>
  <c r="B164" i="13"/>
  <c r="A164" i="13"/>
  <c r="B317" i="13"/>
  <c r="A317" i="13"/>
  <c r="B638" i="13"/>
  <c r="A638" i="13"/>
  <c r="J76" i="8" l="1"/>
  <c r="I76" i="8"/>
  <c r="H76" i="8"/>
  <c r="G76" i="8"/>
  <c r="F76" i="8"/>
  <c r="E76" i="8"/>
  <c r="D76" i="8"/>
  <c r="C76" i="8"/>
  <c r="J75" i="8"/>
  <c r="I75" i="8"/>
  <c r="H75" i="8"/>
  <c r="G75" i="8"/>
  <c r="F75" i="8"/>
  <c r="E75" i="8"/>
  <c r="D75" i="8"/>
  <c r="C75" i="8"/>
  <c r="J74" i="8"/>
  <c r="I74" i="8"/>
  <c r="H74" i="8"/>
  <c r="G74" i="8"/>
  <c r="F74" i="8"/>
  <c r="E74" i="8"/>
  <c r="D74" i="8"/>
  <c r="C74" i="8"/>
  <c r="J73" i="8"/>
  <c r="I73" i="8"/>
  <c r="H73" i="8"/>
  <c r="G73" i="8"/>
  <c r="F73" i="8"/>
  <c r="E73" i="8"/>
  <c r="D73" i="8"/>
  <c r="C73" i="8"/>
  <c r="J72" i="8"/>
  <c r="I72" i="8"/>
  <c r="H72" i="8"/>
  <c r="G72" i="8"/>
  <c r="F72" i="8"/>
  <c r="E72" i="8"/>
  <c r="D72" i="8"/>
  <c r="C72" i="8"/>
  <c r="J71" i="8"/>
  <c r="I71" i="8"/>
  <c r="H71" i="8"/>
  <c r="G71" i="8"/>
  <c r="F71" i="8"/>
  <c r="E71" i="8"/>
  <c r="D71" i="8"/>
  <c r="C71" i="8"/>
  <c r="J70" i="8"/>
  <c r="I70" i="8"/>
  <c r="H70" i="8"/>
  <c r="G70" i="8"/>
  <c r="F70" i="8"/>
  <c r="E70" i="8"/>
  <c r="D70" i="8"/>
  <c r="C70" i="8"/>
  <c r="J69" i="8"/>
  <c r="I69" i="8"/>
  <c r="H69" i="8"/>
  <c r="G69" i="8"/>
  <c r="F69" i="8"/>
  <c r="E69" i="8"/>
  <c r="D69" i="8"/>
  <c r="C69" i="8"/>
  <c r="J68" i="8"/>
  <c r="I68" i="8"/>
  <c r="H68" i="8"/>
  <c r="G68" i="8"/>
  <c r="F68" i="8"/>
  <c r="E68" i="8"/>
  <c r="D68" i="8"/>
  <c r="C68" i="8"/>
  <c r="J67" i="8"/>
  <c r="I67" i="8"/>
  <c r="H67" i="8"/>
  <c r="G67" i="8"/>
  <c r="F67" i="8"/>
  <c r="E67" i="8"/>
  <c r="D67" i="8"/>
  <c r="C67" i="8"/>
  <c r="J66" i="8"/>
  <c r="I66" i="8"/>
  <c r="H66" i="8"/>
  <c r="G66" i="8"/>
  <c r="F66" i="8"/>
  <c r="E66" i="8"/>
  <c r="D66" i="8"/>
  <c r="C66" i="8"/>
  <c r="J65" i="8"/>
  <c r="I65" i="8"/>
  <c r="H65" i="8"/>
  <c r="G65" i="8"/>
  <c r="F65" i="8"/>
  <c r="E65" i="8"/>
  <c r="D65" i="8"/>
  <c r="C65" i="8"/>
  <c r="J64" i="8"/>
  <c r="I64" i="8"/>
  <c r="H64" i="8"/>
  <c r="G64" i="8"/>
  <c r="F64" i="8"/>
  <c r="E64" i="8"/>
  <c r="D64" i="8"/>
  <c r="C64" i="8"/>
  <c r="J63" i="8"/>
  <c r="I63" i="8"/>
  <c r="H63" i="8"/>
  <c r="G63" i="8"/>
  <c r="F63" i="8"/>
  <c r="E63" i="8"/>
  <c r="D63" i="8"/>
  <c r="C63" i="8"/>
  <c r="J62" i="8"/>
  <c r="I62" i="8"/>
  <c r="H62" i="8"/>
  <c r="G62" i="8"/>
  <c r="F62" i="8"/>
  <c r="E62" i="8"/>
  <c r="D62" i="8"/>
  <c r="C62" i="8"/>
  <c r="J61" i="8"/>
  <c r="I61" i="8"/>
  <c r="H61" i="8"/>
  <c r="G61" i="8"/>
  <c r="F61" i="8"/>
  <c r="E61" i="8"/>
  <c r="D61" i="8"/>
  <c r="C61" i="8"/>
  <c r="J60" i="8"/>
  <c r="I60" i="8"/>
  <c r="H60" i="8"/>
  <c r="G60" i="8"/>
  <c r="F60" i="8"/>
  <c r="E60" i="8"/>
  <c r="D60" i="8"/>
  <c r="C60" i="8"/>
  <c r="L59" i="8"/>
  <c r="J59" i="8"/>
  <c r="I59" i="8"/>
  <c r="H59" i="8"/>
  <c r="G59" i="8"/>
  <c r="F59" i="8"/>
  <c r="E59" i="8"/>
  <c r="D59" i="8"/>
  <c r="C59" i="8"/>
  <c r="J58" i="8"/>
  <c r="I58" i="8"/>
  <c r="H58" i="8"/>
  <c r="G58" i="8"/>
  <c r="F58" i="8"/>
  <c r="E58" i="8"/>
  <c r="D58" i="8"/>
  <c r="C58" i="8"/>
  <c r="J57" i="8"/>
  <c r="I57" i="8"/>
  <c r="H57" i="8"/>
  <c r="G57" i="8"/>
  <c r="F57" i="8"/>
  <c r="E57" i="8"/>
  <c r="D57" i="8"/>
  <c r="C57" i="8"/>
  <c r="L56" i="8"/>
  <c r="K56" i="8"/>
  <c r="J56" i="8"/>
  <c r="I56" i="8"/>
  <c r="H56" i="8"/>
  <c r="G56" i="8"/>
  <c r="F56" i="8"/>
  <c r="E56" i="8"/>
  <c r="D56" i="8"/>
  <c r="C56" i="8"/>
  <c r="L55" i="8"/>
  <c r="J55" i="8"/>
  <c r="I55" i="8"/>
  <c r="H55" i="8"/>
  <c r="G55" i="8"/>
  <c r="F55" i="8"/>
  <c r="E55" i="8"/>
  <c r="D55" i="8"/>
  <c r="C55" i="8"/>
  <c r="L54" i="8"/>
  <c r="J54" i="8"/>
  <c r="I54" i="8"/>
  <c r="H54" i="8"/>
  <c r="G54" i="8"/>
  <c r="F54" i="8"/>
  <c r="E54" i="8"/>
  <c r="D54" i="8"/>
  <c r="C54" i="8"/>
  <c r="L53" i="8"/>
  <c r="K53" i="8"/>
  <c r="J53" i="8"/>
  <c r="I53" i="8"/>
  <c r="H53" i="8"/>
  <c r="G53" i="8"/>
  <c r="F53" i="8"/>
  <c r="E53" i="8"/>
  <c r="D53" i="8"/>
  <c r="C53" i="8"/>
  <c r="L52" i="8"/>
  <c r="J52" i="8"/>
  <c r="I52" i="8"/>
  <c r="H52" i="8"/>
  <c r="G52" i="8"/>
  <c r="F52" i="8"/>
  <c r="E52" i="8"/>
  <c r="D52" i="8"/>
  <c r="C52" i="8"/>
  <c r="L51" i="8"/>
  <c r="J51" i="8"/>
  <c r="I51" i="8"/>
  <c r="H51" i="8"/>
  <c r="G51" i="8"/>
  <c r="F51" i="8"/>
  <c r="E51" i="8"/>
  <c r="D51" i="8"/>
  <c r="C51" i="8"/>
  <c r="L50" i="8"/>
  <c r="K50" i="8"/>
  <c r="J50" i="8"/>
  <c r="I50" i="8"/>
  <c r="H50" i="8"/>
  <c r="G50" i="8"/>
  <c r="F50" i="8"/>
  <c r="E50" i="8"/>
  <c r="D50" i="8"/>
  <c r="C50" i="8"/>
  <c r="J49" i="8"/>
  <c r="I49" i="8"/>
  <c r="H49" i="8"/>
  <c r="G49" i="8"/>
  <c r="F49" i="8"/>
  <c r="E49" i="8"/>
  <c r="D49" i="8"/>
  <c r="C49" i="8"/>
  <c r="J48" i="8"/>
  <c r="I48" i="8"/>
  <c r="H48" i="8"/>
  <c r="G48" i="8"/>
  <c r="F48" i="8"/>
  <c r="E48" i="8"/>
  <c r="D48" i="8"/>
  <c r="C48" i="8"/>
  <c r="L47" i="8"/>
  <c r="K47" i="8"/>
  <c r="J47" i="8"/>
  <c r="I47" i="8"/>
  <c r="H47" i="8"/>
  <c r="G47" i="8"/>
  <c r="F47" i="8"/>
  <c r="E47" i="8"/>
  <c r="D47" i="8"/>
  <c r="C47" i="8"/>
  <c r="J46" i="8"/>
  <c r="I46" i="8"/>
  <c r="H46" i="8"/>
  <c r="G46" i="8"/>
  <c r="F46" i="8"/>
  <c r="E46" i="8"/>
  <c r="D46" i="8"/>
  <c r="C46" i="8"/>
  <c r="J45" i="8"/>
  <c r="I45" i="8"/>
  <c r="H45" i="8"/>
  <c r="G45" i="8"/>
  <c r="F45" i="8"/>
  <c r="E45" i="8"/>
  <c r="D45" i="8"/>
  <c r="C45" i="8"/>
  <c r="J44" i="8"/>
  <c r="I44" i="8"/>
  <c r="H44" i="8"/>
  <c r="G44" i="8"/>
  <c r="F44" i="8"/>
  <c r="E44" i="8"/>
  <c r="D44" i="8"/>
  <c r="C44" i="8"/>
  <c r="J43" i="8"/>
  <c r="I43" i="8"/>
  <c r="H43" i="8"/>
  <c r="G43" i="8"/>
  <c r="F43" i="8"/>
  <c r="E43" i="8"/>
  <c r="D43" i="8"/>
  <c r="C43" i="8"/>
  <c r="J42" i="8"/>
  <c r="I42" i="8"/>
  <c r="H42" i="8"/>
  <c r="G42" i="8"/>
  <c r="F42" i="8"/>
  <c r="E42" i="8"/>
  <c r="D42" i="8"/>
  <c r="C42" i="8"/>
  <c r="J41" i="8"/>
  <c r="I41" i="8"/>
  <c r="H41" i="8"/>
  <c r="G41" i="8"/>
  <c r="F41" i="8"/>
  <c r="E41" i="8"/>
  <c r="D41" i="8"/>
  <c r="C41" i="8"/>
  <c r="J40" i="8"/>
  <c r="I40" i="8"/>
  <c r="H40" i="8"/>
  <c r="G40" i="8"/>
  <c r="F40" i="8"/>
  <c r="E40" i="8"/>
  <c r="D40" i="8"/>
  <c r="C40" i="8"/>
  <c r="J39" i="8"/>
  <c r="I39" i="8"/>
  <c r="H39" i="8"/>
  <c r="G39" i="8"/>
  <c r="F39" i="8"/>
  <c r="E39" i="8"/>
  <c r="D39" i="8"/>
  <c r="C39" i="8"/>
  <c r="J38" i="8"/>
  <c r="I38" i="8"/>
  <c r="H38" i="8"/>
  <c r="G38" i="8"/>
  <c r="F38" i="8"/>
  <c r="E38" i="8"/>
  <c r="D38" i="8"/>
  <c r="C38" i="8"/>
  <c r="J37" i="8"/>
  <c r="I37" i="8"/>
  <c r="H37" i="8"/>
  <c r="G37" i="8"/>
  <c r="F37" i="8"/>
  <c r="E37" i="8"/>
  <c r="D37" i="8"/>
  <c r="C37" i="8"/>
  <c r="J36" i="8"/>
  <c r="I36" i="8"/>
  <c r="H36" i="8"/>
  <c r="G36" i="8"/>
  <c r="F36" i="8"/>
  <c r="E36" i="8"/>
  <c r="D36" i="8"/>
  <c r="C36" i="8"/>
  <c r="J35" i="8"/>
  <c r="I35" i="8"/>
  <c r="H35" i="8"/>
  <c r="G35" i="8"/>
  <c r="F35" i="8"/>
  <c r="E35" i="8"/>
  <c r="D35" i="8"/>
  <c r="C35" i="8"/>
  <c r="J34" i="8"/>
  <c r="I34" i="8"/>
  <c r="H34" i="8"/>
  <c r="G34" i="8"/>
  <c r="F34" i="8"/>
  <c r="E34" i="8"/>
  <c r="D34" i="8"/>
  <c r="C34" i="8"/>
  <c r="J33" i="8"/>
  <c r="I33" i="8"/>
  <c r="H33" i="8"/>
  <c r="G33" i="8"/>
  <c r="F33" i="8"/>
  <c r="E33" i="8"/>
  <c r="D33" i="8"/>
  <c r="C33" i="8"/>
  <c r="J32" i="8"/>
  <c r="I32" i="8"/>
  <c r="H32" i="8"/>
  <c r="G32" i="8"/>
  <c r="F32" i="8"/>
  <c r="E32" i="8"/>
  <c r="D32" i="8"/>
  <c r="C32" i="8"/>
  <c r="J31" i="8"/>
  <c r="I31" i="8"/>
  <c r="H31" i="8"/>
  <c r="G31" i="8"/>
  <c r="F31" i="8"/>
  <c r="E31" i="8"/>
  <c r="D31" i="8"/>
  <c r="C31" i="8"/>
  <c r="J30" i="8"/>
  <c r="I30" i="8"/>
  <c r="H30" i="8"/>
  <c r="G30" i="8"/>
  <c r="F30" i="8"/>
  <c r="E30" i="8"/>
  <c r="D30" i="8"/>
  <c r="C30" i="8"/>
  <c r="J29" i="8"/>
  <c r="I29" i="8"/>
  <c r="H29" i="8"/>
  <c r="G29" i="8"/>
  <c r="F29" i="8"/>
  <c r="E29" i="8"/>
  <c r="D29" i="8"/>
  <c r="C29" i="8"/>
  <c r="J28" i="8"/>
  <c r="I28" i="8"/>
  <c r="H28" i="8"/>
  <c r="G28" i="8"/>
  <c r="F28" i="8"/>
  <c r="E28" i="8"/>
  <c r="D28" i="8"/>
  <c r="C28" i="8"/>
  <c r="J27" i="8"/>
  <c r="I27" i="8"/>
  <c r="H27" i="8"/>
  <c r="G27" i="8"/>
  <c r="F27" i="8"/>
  <c r="E27" i="8"/>
  <c r="D27" i="8"/>
  <c r="C27" i="8"/>
  <c r="L26" i="8"/>
  <c r="K26" i="8"/>
  <c r="J26" i="8"/>
  <c r="I26" i="8"/>
  <c r="H26" i="8"/>
  <c r="G26" i="8"/>
  <c r="F26" i="8"/>
  <c r="E26" i="8"/>
  <c r="D26" i="8"/>
  <c r="C26" i="8"/>
  <c r="J25" i="8"/>
  <c r="I25" i="8"/>
  <c r="H25" i="8"/>
  <c r="G25" i="8"/>
  <c r="F25" i="8"/>
  <c r="E25" i="8"/>
  <c r="D25" i="8"/>
  <c r="C25" i="8"/>
  <c r="J24" i="8"/>
  <c r="I24" i="8"/>
  <c r="H24" i="8"/>
  <c r="G24" i="8"/>
  <c r="F24" i="8"/>
  <c r="E24" i="8"/>
  <c r="D24" i="8"/>
  <c r="C24" i="8"/>
  <c r="J23" i="8"/>
  <c r="I23" i="8"/>
  <c r="H23" i="8"/>
  <c r="G23" i="8"/>
  <c r="F23" i="8"/>
  <c r="E23" i="8"/>
  <c r="D23" i="8"/>
  <c r="C23" i="8"/>
  <c r="J22" i="8"/>
  <c r="I22" i="8"/>
  <c r="H22" i="8"/>
  <c r="G22" i="8"/>
  <c r="F22" i="8"/>
  <c r="E22" i="8"/>
  <c r="D22" i="8"/>
  <c r="C22" i="8"/>
  <c r="J21" i="8"/>
  <c r="I21" i="8"/>
  <c r="H21" i="8"/>
  <c r="G21" i="8"/>
  <c r="F21" i="8"/>
  <c r="E21" i="8"/>
  <c r="D21" i="8"/>
  <c r="C21" i="8"/>
  <c r="J20" i="8"/>
  <c r="I20" i="8"/>
  <c r="H20" i="8"/>
  <c r="G20" i="8"/>
  <c r="F20" i="8"/>
  <c r="E20" i="8"/>
  <c r="D20" i="8"/>
  <c r="C20" i="8"/>
  <c r="J19" i="8"/>
  <c r="I19" i="8"/>
  <c r="H19" i="8"/>
  <c r="G19" i="8"/>
  <c r="F19" i="8"/>
  <c r="E19" i="8"/>
  <c r="D19" i="8"/>
  <c r="C19" i="8"/>
  <c r="J18" i="8"/>
  <c r="I18" i="8"/>
  <c r="H18" i="8"/>
  <c r="G18" i="8"/>
  <c r="F18" i="8"/>
  <c r="E18" i="8"/>
  <c r="D18" i="8"/>
  <c r="C18" i="8"/>
  <c r="J17" i="8"/>
  <c r="I17" i="8"/>
  <c r="H17" i="8"/>
  <c r="G17" i="8"/>
  <c r="F17" i="8"/>
  <c r="E17" i="8"/>
  <c r="D17" i="8"/>
  <c r="C17" i="8"/>
  <c r="J16" i="8"/>
  <c r="I16" i="8"/>
  <c r="H16" i="8"/>
  <c r="G16" i="8"/>
  <c r="F16" i="8"/>
  <c r="E16" i="8"/>
  <c r="D16" i="8"/>
  <c r="C16" i="8"/>
  <c r="J15" i="8"/>
  <c r="I15" i="8"/>
  <c r="H15" i="8"/>
  <c r="G15" i="8"/>
  <c r="F15" i="8"/>
  <c r="E15" i="8"/>
  <c r="D15" i="8"/>
  <c r="C15" i="8"/>
  <c r="J14" i="8"/>
  <c r="I14" i="8"/>
  <c r="H14" i="8"/>
  <c r="G14" i="8"/>
  <c r="F14" i="8"/>
  <c r="E14" i="8"/>
  <c r="D14" i="8"/>
  <c r="C14" i="8"/>
  <c r="L13" i="8"/>
  <c r="J13" i="8"/>
  <c r="I13" i="8"/>
  <c r="H13" i="8"/>
  <c r="G13" i="8"/>
  <c r="F13" i="8"/>
  <c r="E13" i="8"/>
  <c r="D13" i="8"/>
  <c r="C13" i="8"/>
  <c r="L12" i="8"/>
  <c r="J12" i="8"/>
  <c r="I12" i="8"/>
  <c r="H12" i="8"/>
  <c r="G12" i="8"/>
  <c r="F12" i="8"/>
  <c r="E12" i="8"/>
  <c r="D12" i="8"/>
  <c r="C12" i="8"/>
  <c r="L11" i="8"/>
  <c r="J11" i="8"/>
  <c r="I11" i="8"/>
  <c r="H11" i="8"/>
  <c r="G11" i="8"/>
  <c r="F11" i="8"/>
  <c r="E11" i="8"/>
  <c r="D11" i="8"/>
  <c r="C11" i="8"/>
  <c r="J10" i="8"/>
  <c r="I10" i="8"/>
  <c r="H10" i="8"/>
  <c r="G10" i="8"/>
  <c r="F10" i="8"/>
  <c r="E10" i="8"/>
  <c r="D10" i="8"/>
  <c r="C10" i="8"/>
  <c r="J9" i="8"/>
  <c r="I9" i="8"/>
  <c r="H9" i="8"/>
  <c r="G9" i="8"/>
  <c r="F9" i="8"/>
  <c r="E9" i="8"/>
  <c r="D9" i="8"/>
  <c r="C9" i="8"/>
  <c r="J8" i="8"/>
  <c r="I8" i="8"/>
  <c r="H8" i="8"/>
  <c r="G8" i="8"/>
  <c r="F8" i="8"/>
  <c r="E8" i="8"/>
  <c r="D8" i="8"/>
  <c r="C8" i="8"/>
  <c r="J7" i="8"/>
  <c r="I7" i="8"/>
  <c r="H7" i="8"/>
  <c r="G7" i="8"/>
  <c r="F7" i="8"/>
  <c r="E7" i="8"/>
  <c r="D7" i="8"/>
  <c r="C7" i="8"/>
  <c r="J6" i="8"/>
  <c r="I6" i="8"/>
  <c r="H6" i="8"/>
  <c r="G6" i="8"/>
  <c r="F6" i="8"/>
  <c r="E6" i="8"/>
  <c r="D6" i="8"/>
  <c r="C6" i="8"/>
  <c r="J5" i="8"/>
  <c r="I5" i="8"/>
  <c r="H5" i="8"/>
  <c r="G5" i="8"/>
  <c r="F5" i="8"/>
  <c r="E5" i="8"/>
  <c r="D5" i="8"/>
  <c r="C5" i="8"/>
  <c r="J4" i="8"/>
  <c r="I4" i="8"/>
  <c r="H4" i="8"/>
  <c r="G4" i="8"/>
  <c r="F4" i="8"/>
  <c r="E4" i="8"/>
  <c r="D4" i="8"/>
  <c r="C4" i="8"/>
  <c r="J3" i="8"/>
  <c r="I3" i="8"/>
  <c r="H3" i="8"/>
  <c r="G3" i="8"/>
  <c r="F3" i="8"/>
  <c r="E3" i="8"/>
  <c r="D3" i="8"/>
  <c r="C3" i="8"/>
  <c r="L2" i="8"/>
  <c r="K2" i="8"/>
  <c r="J2" i="8"/>
  <c r="I2" i="8"/>
  <c r="H2" i="8"/>
  <c r="G2" i="8"/>
  <c r="F2" i="8"/>
  <c r="E2" i="8"/>
  <c r="D2" i="8"/>
  <c r="C2" i="8"/>
  <c r="N1" i="3"/>
  <c r="B5751" i="13"/>
  <c r="A5751" i="13"/>
  <c r="B5750" i="13"/>
  <c r="A5750" i="13"/>
  <c r="B5749" i="13"/>
  <c r="A5749" i="13"/>
  <c r="B5748" i="13"/>
  <c r="A5748" i="13"/>
  <c r="B5747" i="13"/>
  <c r="A5747" i="13"/>
  <c r="B5746" i="13"/>
  <c r="A5746" i="13"/>
  <c r="B5745" i="13"/>
  <c r="A5745" i="13"/>
  <c r="B5744" i="13"/>
  <c r="A5744" i="13"/>
  <c r="B5743" i="13"/>
  <c r="A5743" i="13"/>
  <c r="B5742" i="13"/>
  <c r="A5742" i="13"/>
  <c r="B5741" i="13"/>
  <c r="A5741" i="13"/>
  <c r="B5740" i="13"/>
  <c r="A5740" i="13"/>
  <c r="B5739" i="13"/>
  <c r="A5739" i="13"/>
  <c r="B5738" i="13"/>
  <c r="A5738" i="13"/>
  <c r="B5737" i="13"/>
  <c r="A5737" i="13"/>
  <c r="B5736" i="13"/>
  <c r="A5736" i="13"/>
  <c r="B5735" i="13"/>
  <c r="A5735" i="13"/>
  <c r="B5734" i="13"/>
  <c r="A5734" i="13"/>
  <c r="B5733" i="13"/>
  <c r="A5733" i="13"/>
  <c r="B5732" i="13"/>
  <c r="A5732" i="13"/>
  <c r="B5731" i="13"/>
  <c r="A5731" i="13"/>
  <c r="B5730" i="13"/>
  <c r="A5730" i="13"/>
  <c r="B5729" i="13"/>
  <c r="A5729" i="13"/>
  <c r="B5728" i="13"/>
  <c r="A5728" i="13"/>
  <c r="B5727" i="13"/>
  <c r="A5727" i="13"/>
  <c r="B5726" i="13"/>
  <c r="A5726" i="13"/>
  <c r="B5725" i="13"/>
  <c r="A5725" i="13"/>
  <c r="B5724" i="13"/>
  <c r="A5724" i="13"/>
  <c r="B5723" i="13"/>
  <c r="A5723" i="13"/>
  <c r="B5722" i="13"/>
  <c r="A5722" i="13"/>
  <c r="B5721" i="13"/>
  <c r="A5721" i="13"/>
  <c r="B5720" i="13"/>
  <c r="A5720" i="13"/>
  <c r="B5719" i="13"/>
  <c r="A5719" i="13"/>
  <c r="B5718" i="13"/>
  <c r="A5718" i="13"/>
  <c r="B5717" i="13"/>
  <c r="A5717" i="13"/>
  <c r="B5716" i="13"/>
  <c r="A5716" i="13"/>
  <c r="B5715" i="13"/>
  <c r="A5715" i="13"/>
  <c r="B5714" i="13"/>
  <c r="A5714" i="13"/>
  <c r="B5713" i="13"/>
  <c r="A5713" i="13"/>
  <c r="B5712" i="13"/>
  <c r="A5712" i="13"/>
  <c r="B5711" i="13"/>
  <c r="A5711" i="13"/>
  <c r="B5710" i="13"/>
  <c r="A5710" i="13"/>
  <c r="B5709" i="13"/>
  <c r="A5709" i="13"/>
  <c r="B5708" i="13"/>
  <c r="A5708" i="13"/>
  <c r="B5707" i="13"/>
  <c r="A5707" i="13"/>
  <c r="B5706" i="13"/>
  <c r="A5706" i="13"/>
  <c r="B5705" i="13"/>
  <c r="A5705" i="13"/>
  <c r="B5704" i="13"/>
  <c r="A5704" i="13"/>
  <c r="B5703" i="13"/>
  <c r="A5703" i="13"/>
  <c r="B5702" i="13"/>
  <c r="A5702" i="13"/>
  <c r="B5701" i="13"/>
  <c r="A5701" i="13"/>
  <c r="B5700" i="13"/>
  <c r="A5700" i="13"/>
  <c r="B5699" i="13"/>
  <c r="A5699" i="13"/>
  <c r="B5698" i="13"/>
  <c r="A5698" i="13"/>
  <c r="B5697" i="13"/>
  <c r="A5697" i="13"/>
  <c r="B5696" i="13"/>
  <c r="A5696" i="13"/>
  <c r="B5695" i="13"/>
  <c r="A5695" i="13"/>
  <c r="B5694" i="13"/>
  <c r="A5694" i="13"/>
  <c r="B5693" i="13"/>
  <c r="A5693" i="13"/>
  <c r="B5692" i="13"/>
  <c r="A5692" i="13"/>
  <c r="B5691" i="13"/>
  <c r="A5691" i="13"/>
  <c r="B5690" i="13"/>
  <c r="A5690" i="13"/>
  <c r="B5689" i="13"/>
  <c r="A5689" i="13"/>
  <c r="B5688" i="13"/>
  <c r="A5688" i="13"/>
  <c r="B5687" i="13"/>
  <c r="A5687" i="13"/>
  <c r="B5686" i="13"/>
  <c r="A5686" i="13"/>
  <c r="B5685" i="13"/>
  <c r="A5685" i="13"/>
  <c r="B5684" i="13"/>
  <c r="A5684" i="13"/>
  <c r="B5683" i="13"/>
  <c r="A5683" i="13"/>
  <c r="B5682" i="13"/>
  <c r="A5682" i="13"/>
  <c r="B5681" i="13"/>
  <c r="A5681" i="13"/>
  <c r="B5680" i="13"/>
  <c r="A5680" i="13"/>
  <c r="B5679" i="13"/>
  <c r="A5679" i="13"/>
  <c r="B5678" i="13"/>
  <c r="A5678" i="13"/>
  <c r="B5677" i="13"/>
  <c r="A5677" i="13"/>
  <c r="B5676" i="13"/>
  <c r="A5676" i="13"/>
  <c r="B5675" i="13"/>
  <c r="A5675" i="13"/>
  <c r="B5674" i="13"/>
  <c r="A5674" i="13"/>
  <c r="B5673" i="13"/>
  <c r="A5673" i="13"/>
  <c r="B5672" i="13"/>
  <c r="A5672" i="13"/>
  <c r="B5671" i="13"/>
  <c r="A5671" i="13"/>
  <c r="B5670" i="13"/>
  <c r="A5670" i="13"/>
  <c r="B5669" i="13"/>
  <c r="A5669" i="13"/>
  <c r="B5668" i="13"/>
  <c r="A5668" i="13"/>
  <c r="B5667" i="13"/>
  <c r="A5667" i="13"/>
  <c r="B5666" i="13"/>
  <c r="A5666" i="13"/>
  <c r="B5665" i="13"/>
  <c r="A5665" i="13"/>
  <c r="B5664" i="13"/>
  <c r="A5664" i="13"/>
  <c r="B5663" i="13"/>
  <c r="A5663" i="13"/>
  <c r="B5662" i="13"/>
  <c r="A5662" i="13"/>
  <c r="B5661" i="13"/>
  <c r="A5661" i="13"/>
  <c r="B5660" i="13"/>
  <c r="A5660" i="13"/>
  <c r="B5659" i="13"/>
  <c r="A5659" i="13"/>
  <c r="B5658" i="13"/>
  <c r="A5658" i="13"/>
  <c r="B5657" i="13"/>
  <c r="A5657" i="13"/>
  <c r="B5656" i="13"/>
  <c r="A5656" i="13"/>
  <c r="B5655" i="13"/>
  <c r="A5655" i="13"/>
  <c r="B5654" i="13"/>
  <c r="A5654" i="13"/>
  <c r="B5653" i="13"/>
  <c r="A5653" i="13"/>
  <c r="B5652" i="13"/>
  <c r="A5652" i="13"/>
  <c r="B5651" i="13"/>
  <c r="A5651" i="13"/>
  <c r="B5650" i="13"/>
  <c r="A5650" i="13"/>
  <c r="B5649" i="13"/>
  <c r="A5649" i="13"/>
  <c r="B5648" i="13"/>
  <c r="A5648" i="13"/>
  <c r="B5647" i="13"/>
  <c r="A5647" i="13"/>
  <c r="B5646" i="13"/>
  <c r="A5646" i="13"/>
  <c r="B5645" i="13"/>
  <c r="A5645" i="13"/>
  <c r="B5644" i="13"/>
  <c r="A5644" i="13"/>
  <c r="B5643" i="13"/>
  <c r="A5643" i="13"/>
  <c r="B5642" i="13"/>
  <c r="A5642" i="13"/>
  <c r="B5641" i="13"/>
  <c r="A5641" i="13"/>
  <c r="B5640" i="13"/>
  <c r="A5640" i="13"/>
  <c r="B5639" i="13"/>
  <c r="A5639" i="13"/>
  <c r="B5638" i="13"/>
  <c r="A5638" i="13"/>
  <c r="B5637" i="13"/>
  <c r="A5637" i="13"/>
  <c r="B5636" i="13"/>
  <c r="A5636" i="13"/>
  <c r="B5635" i="13"/>
  <c r="A5635" i="13"/>
  <c r="B5634" i="13"/>
  <c r="A5634" i="13"/>
  <c r="B5633" i="13"/>
  <c r="A5633" i="13"/>
  <c r="B5632" i="13"/>
  <c r="A5632" i="13"/>
  <c r="B5631" i="13"/>
  <c r="A5631" i="13"/>
  <c r="B5630" i="13"/>
  <c r="A5630" i="13"/>
  <c r="B5629" i="13"/>
  <c r="A5629" i="13"/>
  <c r="B5628" i="13"/>
  <c r="A5628" i="13"/>
  <c r="B5627" i="13"/>
  <c r="A5627" i="13"/>
  <c r="B5626" i="13"/>
  <c r="A5626" i="13"/>
  <c r="B5625" i="13"/>
  <c r="A5625" i="13"/>
  <c r="B5624" i="13"/>
  <c r="A5624" i="13"/>
  <c r="B5623" i="13"/>
  <c r="A5623" i="13"/>
  <c r="B5622" i="13"/>
  <c r="A5622" i="13"/>
  <c r="B5621" i="13"/>
  <c r="A5621" i="13"/>
  <c r="B5620" i="13"/>
  <c r="A5620" i="13"/>
  <c r="B5619" i="13"/>
  <c r="A5619" i="13"/>
  <c r="B5618" i="13"/>
  <c r="A5618" i="13"/>
  <c r="B5617" i="13"/>
  <c r="A5617" i="13"/>
  <c r="B5616" i="13"/>
  <c r="A5616" i="13"/>
  <c r="B5615" i="13"/>
  <c r="A5615" i="13"/>
  <c r="B5614" i="13"/>
  <c r="A5614" i="13"/>
  <c r="B5613" i="13"/>
  <c r="A5613" i="13"/>
  <c r="B5612" i="13"/>
  <c r="A5612" i="13"/>
  <c r="B5611" i="13"/>
  <c r="A5611" i="13"/>
  <c r="B5610" i="13"/>
  <c r="A5610" i="13"/>
  <c r="B5609" i="13"/>
  <c r="A5609" i="13"/>
  <c r="B5608" i="13"/>
  <c r="A5608" i="13"/>
  <c r="B5607" i="13"/>
  <c r="A5607" i="13"/>
  <c r="B5606" i="13"/>
  <c r="A5606" i="13"/>
  <c r="B5605" i="13"/>
  <c r="A5605" i="13"/>
  <c r="B5604" i="13"/>
  <c r="A5604" i="13"/>
  <c r="B5603" i="13"/>
  <c r="A5603" i="13"/>
  <c r="B5602" i="13"/>
  <c r="A5602" i="13"/>
  <c r="B5601" i="13"/>
  <c r="A5601" i="13"/>
  <c r="B5600" i="13"/>
  <c r="A5600" i="13"/>
  <c r="B5599" i="13"/>
  <c r="A5599" i="13"/>
  <c r="B5598" i="13"/>
  <c r="A5598" i="13"/>
  <c r="B5597" i="13"/>
  <c r="A5597" i="13"/>
  <c r="B5596" i="13"/>
  <c r="A5596" i="13"/>
  <c r="B5595" i="13"/>
  <c r="A5595" i="13"/>
  <c r="B5594" i="13"/>
  <c r="A5594" i="13"/>
  <c r="B5593" i="13"/>
  <c r="A5593" i="13"/>
  <c r="B5592" i="13"/>
  <c r="A5592" i="13"/>
  <c r="B5591" i="13"/>
  <c r="A5591" i="13"/>
  <c r="B5590" i="13"/>
  <c r="A5590" i="13"/>
  <c r="B5589" i="13"/>
  <c r="A5589" i="13"/>
  <c r="B5588" i="13"/>
  <c r="A5588" i="13"/>
  <c r="B5587" i="13"/>
  <c r="A5587" i="13"/>
  <c r="B5586" i="13"/>
  <c r="A5586" i="13"/>
  <c r="B5585" i="13"/>
  <c r="A5585" i="13"/>
  <c r="B5584" i="13"/>
  <c r="A5584" i="13"/>
  <c r="B5583" i="13"/>
  <c r="A5583" i="13"/>
  <c r="B5582" i="13"/>
  <c r="A5582" i="13"/>
  <c r="B5581" i="13"/>
  <c r="A5581" i="13"/>
  <c r="B5580" i="13"/>
  <c r="A5580" i="13"/>
  <c r="B5579" i="13"/>
  <c r="A5579" i="13"/>
  <c r="B5578" i="13"/>
  <c r="A5578" i="13"/>
  <c r="B5577" i="13"/>
  <c r="A5577" i="13"/>
  <c r="B5576" i="13"/>
  <c r="A5576" i="13"/>
  <c r="B5575" i="13"/>
  <c r="A5575" i="13"/>
  <c r="B5574" i="13"/>
  <c r="A5574" i="13"/>
  <c r="B5573" i="13"/>
  <c r="A5573" i="13"/>
  <c r="B5572" i="13"/>
  <c r="A5572" i="13"/>
  <c r="B5571" i="13"/>
  <c r="A5571" i="13"/>
  <c r="B5570" i="13"/>
  <c r="A5570" i="13"/>
  <c r="B5569" i="13"/>
  <c r="A5569" i="13"/>
  <c r="B5568" i="13"/>
  <c r="A5568" i="13"/>
  <c r="B5567" i="13"/>
  <c r="A5567" i="13"/>
  <c r="B5566" i="13"/>
  <c r="A5566" i="13"/>
  <c r="B5565" i="13"/>
  <c r="A5565" i="13"/>
  <c r="B5564" i="13"/>
  <c r="A5564" i="13"/>
  <c r="B5563" i="13"/>
  <c r="A5563" i="13"/>
  <c r="B5562" i="13"/>
  <c r="A5562" i="13"/>
  <c r="B5561" i="13"/>
  <c r="A5561" i="13"/>
  <c r="B5560" i="13"/>
  <c r="A5560" i="13"/>
  <c r="B5559" i="13"/>
  <c r="A5559" i="13"/>
  <c r="B5558" i="13"/>
  <c r="A5558" i="13"/>
  <c r="B5557" i="13"/>
  <c r="A5557" i="13"/>
  <c r="B5556" i="13"/>
  <c r="A5556" i="13"/>
  <c r="B5555" i="13"/>
  <c r="A5555" i="13"/>
  <c r="B5554" i="13"/>
  <c r="A5554" i="13"/>
  <c r="B5553" i="13"/>
  <c r="A5553" i="13"/>
  <c r="B5552" i="13"/>
  <c r="A5552" i="13"/>
  <c r="B5551" i="13"/>
  <c r="A5551" i="13"/>
  <c r="B5550" i="13"/>
  <c r="A5550" i="13"/>
  <c r="B5549" i="13"/>
  <c r="A5549" i="13"/>
  <c r="B5548" i="13"/>
  <c r="A5548" i="13"/>
  <c r="B5547" i="13"/>
  <c r="A5547" i="13"/>
  <c r="B5546" i="13"/>
  <c r="A5546" i="13"/>
  <c r="B5545" i="13"/>
  <c r="A5545" i="13"/>
  <c r="B5544" i="13"/>
  <c r="A5544" i="13"/>
  <c r="B5543" i="13"/>
  <c r="A5543" i="13"/>
  <c r="B5542" i="13"/>
  <c r="A5542" i="13"/>
  <c r="B5541" i="13"/>
  <c r="A5541" i="13"/>
  <c r="B5540" i="13"/>
  <c r="A5540" i="13"/>
  <c r="B5539" i="13"/>
  <c r="A5539" i="13"/>
  <c r="B5538" i="13"/>
  <c r="A5538" i="13"/>
  <c r="B5537" i="13"/>
  <c r="A5537" i="13"/>
  <c r="B5536" i="13"/>
  <c r="A5536" i="13"/>
  <c r="B5535" i="13"/>
  <c r="A5535" i="13"/>
  <c r="B5534" i="13"/>
  <c r="A5534" i="13"/>
  <c r="B5533" i="13"/>
  <c r="A5533" i="13"/>
  <c r="B5532" i="13"/>
  <c r="A5532" i="13"/>
  <c r="B5531" i="13"/>
  <c r="A5531" i="13"/>
  <c r="B5530" i="13"/>
  <c r="A5530" i="13"/>
  <c r="B5529" i="13"/>
  <c r="A5529" i="13"/>
  <c r="B5528" i="13"/>
  <c r="A5528" i="13"/>
  <c r="B5527" i="13"/>
  <c r="A5527" i="13"/>
  <c r="B5526" i="13"/>
  <c r="A5526" i="13"/>
  <c r="B5525" i="13"/>
  <c r="A5525" i="13"/>
  <c r="B5524" i="13"/>
  <c r="A5524" i="13"/>
  <c r="B5523" i="13"/>
  <c r="A5523" i="13"/>
  <c r="B5522" i="13"/>
  <c r="A5522" i="13"/>
  <c r="B5521" i="13"/>
  <c r="A5521" i="13"/>
  <c r="B5520" i="13"/>
  <c r="A5520" i="13"/>
  <c r="B5519" i="13"/>
  <c r="A5519" i="13"/>
  <c r="B5518" i="13"/>
  <c r="A5518" i="13"/>
  <c r="B5517" i="13"/>
  <c r="A5517" i="13"/>
  <c r="B5516" i="13"/>
  <c r="A5516" i="13"/>
  <c r="B5515" i="13"/>
  <c r="A5515" i="13"/>
  <c r="B5514" i="13"/>
  <c r="A5514" i="13"/>
  <c r="B5513" i="13"/>
  <c r="A5513" i="13"/>
  <c r="B5512" i="13"/>
  <c r="A5512" i="13"/>
  <c r="B5511" i="13"/>
  <c r="A5511" i="13"/>
  <c r="B5510" i="13"/>
  <c r="A5510" i="13"/>
  <c r="B5509" i="13"/>
  <c r="A5509" i="13"/>
  <c r="B5508" i="13"/>
  <c r="A5508" i="13"/>
  <c r="B5507" i="13"/>
  <c r="A5507" i="13"/>
  <c r="B5506" i="13"/>
  <c r="A5506" i="13"/>
  <c r="B5505" i="13"/>
  <c r="A5505" i="13"/>
  <c r="B5504" i="13"/>
  <c r="A5504" i="13"/>
  <c r="B5503" i="13"/>
  <c r="A5503" i="13"/>
  <c r="B5502" i="13"/>
  <c r="A5502" i="13"/>
  <c r="B5501" i="13"/>
  <c r="A5501" i="13"/>
  <c r="B5500" i="13"/>
  <c r="A5500" i="13"/>
  <c r="B5499" i="13"/>
  <c r="A5499" i="13"/>
  <c r="B5498" i="13"/>
  <c r="A5498" i="13"/>
  <c r="B5497" i="13"/>
  <c r="A5497" i="13"/>
  <c r="B5496" i="13"/>
  <c r="A5496" i="13"/>
  <c r="B5495" i="13"/>
  <c r="A5495" i="13"/>
  <c r="B5494" i="13"/>
  <c r="A5494" i="13"/>
  <c r="B5493" i="13"/>
  <c r="A5493" i="13"/>
  <c r="B5492" i="13"/>
  <c r="A5492" i="13"/>
  <c r="B5491" i="13"/>
  <c r="A5491" i="13"/>
  <c r="B5490" i="13"/>
  <c r="A5490" i="13"/>
  <c r="B5489" i="13"/>
  <c r="A5489" i="13"/>
  <c r="B5488" i="13"/>
  <c r="A5488" i="13"/>
  <c r="B5487" i="13"/>
  <c r="A5487" i="13"/>
  <c r="B5486" i="13"/>
  <c r="A5486" i="13"/>
  <c r="B5485" i="13"/>
  <c r="A5485" i="13"/>
  <c r="B5484" i="13"/>
  <c r="A5484" i="13"/>
  <c r="B5483" i="13"/>
  <c r="A5483" i="13"/>
  <c r="B5482" i="13"/>
  <c r="A5482" i="13"/>
  <c r="B5481" i="13"/>
  <c r="A5481" i="13"/>
  <c r="B5480" i="13"/>
  <c r="A5480" i="13"/>
  <c r="B5479" i="13"/>
  <c r="A5479" i="13"/>
  <c r="B5478" i="13"/>
  <c r="A5478" i="13"/>
  <c r="B5477" i="13"/>
  <c r="A5477" i="13"/>
  <c r="B5476" i="13"/>
  <c r="A5476" i="13"/>
  <c r="B5475" i="13"/>
  <c r="A5475" i="13"/>
  <c r="B5474" i="13"/>
  <c r="A5474" i="13"/>
  <c r="B5473" i="13"/>
  <c r="A5473" i="13"/>
  <c r="B5472" i="13"/>
  <c r="A5472" i="13"/>
  <c r="B5471" i="13"/>
  <c r="A5471" i="13"/>
  <c r="B5470" i="13"/>
  <c r="A5470" i="13"/>
  <c r="B5469" i="13"/>
  <c r="A5469" i="13"/>
  <c r="B5468" i="13"/>
  <c r="A5468" i="13"/>
  <c r="B5467" i="13"/>
  <c r="A5467" i="13"/>
  <c r="B5466" i="13"/>
  <c r="A5466" i="13"/>
  <c r="B5465" i="13"/>
  <c r="A5465" i="13"/>
  <c r="B5464" i="13"/>
  <c r="A5464" i="13"/>
  <c r="B5463" i="13"/>
  <c r="A5463" i="13"/>
  <c r="B5462" i="13"/>
  <c r="A5462" i="13"/>
  <c r="B5461" i="13"/>
  <c r="A5461" i="13"/>
  <c r="B5460" i="13"/>
  <c r="A5460" i="13"/>
  <c r="B5459" i="13"/>
  <c r="A5459" i="13"/>
  <c r="B5458" i="13"/>
  <c r="A5458" i="13"/>
  <c r="B5457" i="13"/>
  <c r="A5457" i="13"/>
  <c r="B5456" i="13"/>
  <c r="A5456" i="13"/>
  <c r="B5455" i="13"/>
  <c r="A5455" i="13"/>
  <c r="B5454" i="13"/>
  <c r="A5454" i="13"/>
  <c r="B5453" i="13"/>
  <c r="A5453" i="13"/>
  <c r="B5452" i="13"/>
  <c r="A5452" i="13"/>
  <c r="B5451" i="13"/>
  <c r="A5451" i="13"/>
  <c r="B5450" i="13"/>
  <c r="A5450" i="13"/>
  <c r="B5449" i="13"/>
  <c r="A5449" i="13"/>
  <c r="B5448" i="13"/>
  <c r="A5448" i="13"/>
  <c r="B5447" i="13"/>
  <c r="A5447" i="13"/>
  <c r="B5446" i="13"/>
  <c r="A5446" i="13"/>
  <c r="B5445" i="13"/>
  <c r="A5445" i="13"/>
  <c r="B5444" i="13"/>
  <c r="A5444" i="13"/>
  <c r="B5443" i="13"/>
  <c r="A5443" i="13"/>
  <c r="B5442" i="13"/>
  <c r="A5442" i="13"/>
  <c r="B5441" i="13"/>
  <c r="A5441" i="13"/>
  <c r="B5440" i="13"/>
  <c r="A5440" i="13"/>
  <c r="B5439" i="13"/>
  <c r="A5439" i="13"/>
  <c r="B5438" i="13"/>
  <c r="A5438" i="13"/>
  <c r="B5437" i="13"/>
  <c r="A5437" i="13"/>
  <c r="B5436" i="13"/>
  <c r="A5436" i="13"/>
  <c r="B5435" i="13"/>
  <c r="A5435" i="13"/>
  <c r="B5434" i="13"/>
  <c r="A5434" i="13"/>
  <c r="B5433" i="13"/>
  <c r="A5433" i="13"/>
  <c r="B5432" i="13"/>
  <c r="A5432" i="13"/>
  <c r="B5431" i="13"/>
  <c r="A5431" i="13"/>
  <c r="B5430" i="13"/>
  <c r="A5430" i="13"/>
  <c r="B5429" i="13"/>
  <c r="A5429" i="13"/>
  <c r="B5428" i="13"/>
  <c r="A5428" i="13"/>
  <c r="B5427" i="13"/>
  <c r="A5427" i="13"/>
  <c r="B5426" i="13"/>
  <c r="A5426" i="13"/>
  <c r="B5425" i="13"/>
  <c r="A5425" i="13"/>
  <c r="B5424" i="13"/>
  <c r="A5424" i="13"/>
  <c r="B5423" i="13"/>
  <c r="A5423" i="13"/>
  <c r="B5422" i="13"/>
  <c r="A5422" i="13"/>
  <c r="B5421" i="13"/>
  <c r="A5421" i="13"/>
  <c r="B5420" i="13"/>
  <c r="A5420" i="13"/>
  <c r="B5419" i="13"/>
  <c r="A5419" i="13"/>
  <c r="B5418" i="13"/>
  <c r="A5418" i="13"/>
  <c r="B5417" i="13"/>
  <c r="A5417" i="13"/>
  <c r="B5416" i="13"/>
  <c r="A5416" i="13"/>
  <c r="B5415" i="13"/>
  <c r="A5415" i="13"/>
  <c r="B5414" i="13"/>
  <c r="A5414" i="13"/>
  <c r="B5413" i="13"/>
  <c r="A5413" i="13"/>
  <c r="B5412" i="13"/>
  <c r="A5412" i="13"/>
  <c r="B5411" i="13"/>
  <c r="A5411" i="13"/>
  <c r="B5410" i="13"/>
  <c r="A5410" i="13"/>
  <c r="B5409" i="13"/>
  <c r="A5409" i="13"/>
  <c r="B5408" i="13"/>
  <c r="A5408" i="13"/>
  <c r="B5407" i="13"/>
  <c r="A5407" i="13"/>
  <c r="B5406" i="13"/>
  <c r="A5406" i="13"/>
  <c r="B5405" i="13"/>
  <c r="A5405" i="13"/>
  <c r="B5404" i="13"/>
  <c r="A5404" i="13"/>
  <c r="B5403" i="13"/>
  <c r="A5403" i="13"/>
  <c r="B5402" i="13"/>
  <c r="A5402" i="13"/>
  <c r="B5401" i="13"/>
  <c r="A5401" i="13"/>
  <c r="B5400" i="13"/>
  <c r="A5400" i="13"/>
  <c r="B5399" i="13"/>
  <c r="A5399" i="13"/>
  <c r="B5398" i="13"/>
  <c r="A5398" i="13"/>
  <c r="B5397" i="13"/>
  <c r="A5397" i="13"/>
  <c r="B5396" i="13"/>
  <c r="A5396" i="13"/>
  <c r="B5395" i="13"/>
  <c r="A5395" i="13"/>
  <c r="B5394" i="13"/>
  <c r="A5394" i="13"/>
  <c r="B5393" i="13"/>
  <c r="A5393" i="13"/>
  <c r="B5392" i="13"/>
  <c r="A5392" i="13"/>
  <c r="B5391" i="13"/>
  <c r="A5391" i="13"/>
  <c r="B5390" i="13"/>
  <c r="A5390" i="13"/>
  <c r="B5389" i="13"/>
  <c r="A5389" i="13"/>
  <c r="B5388" i="13"/>
  <c r="A5388" i="13"/>
  <c r="B5387" i="13"/>
  <c r="A5387" i="13"/>
  <c r="B5386" i="13"/>
  <c r="A5386" i="13"/>
  <c r="B5385" i="13"/>
  <c r="A5385" i="13"/>
  <c r="B5384" i="13"/>
  <c r="A5384" i="13"/>
  <c r="B5383" i="13"/>
  <c r="A5383" i="13"/>
  <c r="B5382" i="13"/>
  <c r="A5382" i="13"/>
  <c r="B5381" i="13"/>
  <c r="A5381" i="13"/>
  <c r="B5380" i="13"/>
  <c r="A5380" i="13"/>
  <c r="B5379" i="13"/>
  <c r="A5379" i="13"/>
  <c r="B5378" i="13"/>
  <c r="A5378" i="13"/>
  <c r="B5377" i="13"/>
  <c r="A5377" i="13"/>
  <c r="B5376" i="13"/>
  <c r="A5376" i="13"/>
  <c r="B5375" i="13"/>
  <c r="A5375" i="13"/>
  <c r="B5374" i="13"/>
  <c r="A5374" i="13"/>
  <c r="B5373" i="13"/>
  <c r="A5373" i="13"/>
  <c r="B5372" i="13"/>
  <c r="A5372" i="13"/>
  <c r="B5371" i="13"/>
  <c r="A5371" i="13"/>
  <c r="B5370" i="13"/>
  <c r="A5370" i="13"/>
  <c r="B5369" i="13"/>
  <c r="A5369" i="13"/>
  <c r="B5368" i="13"/>
  <c r="A5368" i="13"/>
  <c r="B5367" i="13"/>
  <c r="A5367" i="13"/>
  <c r="B5366" i="13"/>
  <c r="A5366" i="13"/>
  <c r="B5365" i="13"/>
  <c r="A5365" i="13"/>
  <c r="B5364" i="13"/>
  <c r="A5364" i="13"/>
  <c r="B5363" i="13"/>
  <c r="A5363" i="13"/>
  <c r="B5362" i="13"/>
  <c r="A5362" i="13"/>
  <c r="B5361" i="13"/>
  <c r="A5361" i="13"/>
  <c r="B5360" i="13"/>
  <c r="A5360" i="13"/>
  <c r="B5359" i="13"/>
  <c r="A5359" i="13"/>
  <c r="B5358" i="13"/>
  <c r="A5358" i="13"/>
  <c r="B5357" i="13"/>
  <c r="A5357" i="13"/>
  <c r="B5356" i="13"/>
  <c r="A5356" i="13"/>
  <c r="B5355" i="13"/>
  <c r="A5355" i="13"/>
  <c r="B5354" i="13"/>
  <c r="A5354" i="13"/>
  <c r="B5353" i="13"/>
  <c r="A5353" i="13"/>
  <c r="B5352" i="13"/>
  <c r="A5352" i="13"/>
  <c r="B5351" i="13"/>
  <c r="A5351" i="13"/>
  <c r="B5350" i="13"/>
  <c r="A5350" i="13"/>
  <c r="B5349" i="13"/>
  <c r="A5349" i="13"/>
  <c r="B5348" i="13"/>
  <c r="A5348" i="13"/>
  <c r="B5347" i="13"/>
  <c r="A5347" i="13"/>
  <c r="B5346" i="13"/>
  <c r="A5346" i="13"/>
  <c r="B5345" i="13"/>
  <c r="A5345" i="13"/>
  <c r="B5344" i="13"/>
  <c r="A5344" i="13"/>
  <c r="B5343" i="13"/>
  <c r="A5343" i="13"/>
  <c r="B5342" i="13"/>
  <c r="A5342" i="13"/>
  <c r="B5341" i="13"/>
  <c r="A5341" i="13"/>
  <c r="B5340" i="13"/>
  <c r="A5340" i="13"/>
  <c r="B5339" i="13"/>
  <c r="A5339" i="13"/>
  <c r="B5338" i="13"/>
  <c r="A5338" i="13"/>
  <c r="B5337" i="13"/>
  <c r="A5337" i="13"/>
  <c r="B5336" i="13"/>
  <c r="A5336" i="13"/>
  <c r="B5335" i="13"/>
  <c r="A5335" i="13"/>
  <c r="B5334" i="13"/>
  <c r="A5334" i="13"/>
  <c r="B5333" i="13"/>
  <c r="A5333" i="13"/>
  <c r="B5332" i="13"/>
  <c r="A5332" i="13"/>
  <c r="B5331" i="13"/>
  <c r="A5331" i="13"/>
  <c r="B5330" i="13"/>
  <c r="A5330" i="13"/>
  <c r="B5329" i="13"/>
  <c r="A5329" i="13"/>
  <c r="B5328" i="13"/>
  <c r="A5328" i="13"/>
  <c r="B5327" i="13"/>
  <c r="A5327" i="13"/>
  <c r="B5326" i="13"/>
  <c r="A5326" i="13"/>
  <c r="B5325" i="13"/>
  <c r="A5325" i="13"/>
  <c r="B5324" i="13"/>
  <c r="A5324" i="13"/>
  <c r="B5323" i="13"/>
  <c r="A5323" i="13"/>
  <c r="B5322" i="13"/>
  <c r="A5322" i="13"/>
  <c r="B5321" i="13"/>
  <c r="A5321" i="13"/>
  <c r="B5320" i="13"/>
  <c r="A5320" i="13"/>
  <c r="B5319" i="13"/>
  <c r="A5319" i="13"/>
  <c r="B5318" i="13"/>
  <c r="A5318" i="13"/>
  <c r="B5317" i="13"/>
  <c r="A5317" i="13"/>
  <c r="B5316" i="13"/>
  <c r="A5316" i="13"/>
  <c r="B5315" i="13"/>
  <c r="A5315" i="13"/>
  <c r="B5314" i="13"/>
  <c r="A5314" i="13"/>
  <c r="B5313" i="13"/>
  <c r="A5313" i="13"/>
  <c r="B5312" i="13"/>
  <c r="A5312" i="13"/>
  <c r="B5311" i="13"/>
  <c r="A5311" i="13"/>
  <c r="B5310" i="13"/>
  <c r="A5310" i="13"/>
  <c r="B5309" i="13"/>
  <c r="A5309" i="13"/>
  <c r="B5308" i="13"/>
  <c r="A5308" i="13"/>
  <c r="B5307" i="13"/>
  <c r="A5307" i="13"/>
  <c r="B5306" i="13"/>
  <c r="A5306" i="13"/>
  <c r="B5305" i="13"/>
  <c r="A5305" i="13"/>
  <c r="B5304" i="13"/>
  <c r="A5304" i="13"/>
  <c r="B5303" i="13"/>
  <c r="A5303" i="13"/>
  <c r="B5302" i="13"/>
  <c r="A5302" i="13"/>
  <c r="B5301" i="13"/>
  <c r="A5301" i="13"/>
  <c r="B5300" i="13"/>
  <c r="A5300" i="13"/>
  <c r="B5299" i="13"/>
  <c r="A5299" i="13"/>
  <c r="B5298" i="13"/>
  <c r="A5298" i="13"/>
  <c r="B5297" i="13"/>
  <c r="A5297" i="13"/>
  <c r="B5296" i="13"/>
  <c r="A5296" i="13"/>
  <c r="B5295" i="13"/>
  <c r="A5295" i="13"/>
  <c r="B5294" i="13"/>
  <c r="A5294" i="13"/>
  <c r="B5293" i="13"/>
  <c r="A5293" i="13"/>
  <c r="B5292" i="13"/>
  <c r="A5292" i="13"/>
  <c r="B5291" i="13"/>
  <c r="A5291" i="13"/>
  <c r="B5290" i="13"/>
  <c r="A5290" i="13"/>
  <c r="B5289" i="13"/>
  <c r="A5289" i="13"/>
  <c r="B5288" i="13"/>
  <c r="A5288" i="13"/>
  <c r="B5287" i="13"/>
  <c r="A5287" i="13"/>
  <c r="B5286" i="13"/>
  <c r="A5286" i="13"/>
  <c r="B5285" i="13"/>
  <c r="A5285" i="13"/>
  <c r="B5284" i="13"/>
  <c r="A5284" i="13"/>
  <c r="B5283" i="13"/>
  <c r="A5283" i="13"/>
  <c r="B5282" i="13"/>
  <c r="A5282" i="13"/>
  <c r="B5281" i="13"/>
  <c r="A5281" i="13"/>
  <c r="B5280" i="13"/>
  <c r="A5280" i="13"/>
  <c r="B5279" i="13"/>
  <c r="A5279" i="13"/>
  <c r="B5278" i="13"/>
  <c r="A5278" i="13"/>
  <c r="B5277" i="13"/>
  <c r="A5277" i="13"/>
  <c r="B5276" i="13"/>
  <c r="A5276" i="13"/>
  <c r="B5275" i="13"/>
  <c r="A5275" i="13"/>
  <c r="B5274" i="13"/>
  <c r="A5274" i="13"/>
  <c r="B5273" i="13"/>
  <c r="A5273" i="13"/>
  <c r="B5272" i="13"/>
  <c r="A5272" i="13"/>
  <c r="B5271" i="13"/>
  <c r="A5271" i="13"/>
  <c r="B5270" i="13"/>
  <c r="A5270" i="13"/>
  <c r="B5269" i="13"/>
  <c r="A5269" i="13"/>
  <c r="B5268" i="13"/>
  <c r="A5268" i="13"/>
  <c r="B5267" i="13"/>
  <c r="A5267" i="13"/>
  <c r="B5266" i="13"/>
  <c r="A5266" i="13"/>
  <c r="B5265" i="13"/>
  <c r="A5265" i="13"/>
  <c r="B5264" i="13"/>
  <c r="A5264" i="13"/>
  <c r="B5263" i="13"/>
  <c r="A5263" i="13"/>
  <c r="B5262" i="13"/>
  <c r="A5262" i="13"/>
  <c r="B5261" i="13"/>
  <c r="A5261" i="13"/>
  <c r="B5260" i="13"/>
  <c r="A5260" i="13"/>
  <c r="B5259" i="13"/>
  <c r="A5259" i="13"/>
  <c r="B5258" i="13"/>
  <c r="A5258" i="13"/>
  <c r="B5257" i="13"/>
  <c r="A5257" i="13"/>
  <c r="B5256" i="13"/>
  <c r="A5256" i="13"/>
  <c r="B5255" i="13"/>
  <c r="A5255" i="13"/>
  <c r="B5254" i="13"/>
  <c r="A5254" i="13"/>
  <c r="B5253" i="13"/>
  <c r="A5253" i="13"/>
  <c r="B5252" i="13"/>
  <c r="A5252" i="13"/>
  <c r="B5251" i="13"/>
  <c r="A5251" i="13"/>
  <c r="B5250" i="13"/>
  <c r="A5250" i="13"/>
  <c r="B5249" i="13"/>
  <c r="A5249" i="13"/>
  <c r="B5248" i="13"/>
  <c r="A5248" i="13"/>
  <c r="B5247" i="13"/>
  <c r="A5247" i="13"/>
  <c r="B5246" i="13"/>
  <c r="A5246" i="13"/>
  <c r="B5245" i="13"/>
  <c r="A5245" i="13"/>
  <c r="B5244" i="13"/>
  <c r="A5244" i="13"/>
  <c r="B5243" i="13"/>
  <c r="A5243" i="13"/>
  <c r="B5242" i="13"/>
  <c r="A5242" i="13"/>
  <c r="B5241" i="13"/>
  <c r="A5241" i="13"/>
  <c r="B5240" i="13"/>
  <c r="A5240" i="13"/>
  <c r="B5239" i="13"/>
  <c r="A5239" i="13"/>
  <c r="B5238" i="13"/>
  <c r="A5238" i="13"/>
  <c r="B5237" i="13"/>
  <c r="A5237" i="13"/>
  <c r="B5236" i="13"/>
  <c r="A5236" i="13"/>
  <c r="B5235" i="13"/>
  <c r="A5235" i="13"/>
  <c r="B5234" i="13"/>
  <c r="A5234" i="13"/>
  <c r="B5233" i="13"/>
  <c r="A5233" i="13"/>
  <c r="B5232" i="13"/>
  <c r="A5232" i="13"/>
  <c r="B5231" i="13"/>
  <c r="A5231" i="13"/>
  <c r="B5230" i="13"/>
  <c r="A5230" i="13"/>
  <c r="B5229" i="13"/>
  <c r="A5229" i="13"/>
  <c r="B5228" i="13"/>
  <c r="A5228" i="13"/>
  <c r="B5227" i="13"/>
  <c r="A5227" i="13"/>
  <c r="B5226" i="13"/>
  <c r="A5226" i="13"/>
  <c r="B5225" i="13"/>
  <c r="A5225" i="13"/>
  <c r="B5224" i="13"/>
  <c r="A5224" i="13"/>
  <c r="B5223" i="13"/>
  <c r="A5223" i="13"/>
  <c r="B5222" i="13"/>
  <c r="A5222" i="13"/>
  <c r="B5221" i="13"/>
  <c r="A5221" i="13"/>
  <c r="B5220" i="13"/>
  <c r="A5220" i="13"/>
  <c r="B5219" i="13"/>
  <c r="A5219" i="13"/>
  <c r="B5218" i="13"/>
  <c r="A5218" i="13"/>
  <c r="B5217" i="13"/>
  <c r="A5217" i="13"/>
  <c r="B5216" i="13"/>
  <c r="A5216" i="13"/>
  <c r="B5215" i="13"/>
  <c r="A5215" i="13"/>
  <c r="B5214" i="13"/>
  <c r="A5214" i="13"/>
  <c r="B5213" i="13"/>
  <c r="A5213" i="13"/>
  <c r="B5212" i="13"/>
  <c r="A5212" i="13"/>
  <c r="B5211" i="13"/>
  <c r="A5211" i="13"/>
  <c r="B5210" i="13"/>
  <c r="A5210" i="13"/>
  <c r="B5209" i="13"/>
  <c r="A5209" i="13"/>
  <c r="B5208" i="13"/>
  <c r="A5208" i="13"/>
  <c r="B5207" i="13"/>
  <c r="A5207" i="13"/>
  <c r="B5206" i="13"/>
  <c r="A5206" i="13"/>
  <c r="B5205" i="13"/>
  <c r="A5205" i="13"/>
  <c r="B5204" i="13"/>
  <c r="A5204" i="13"/>
  <c r="B5203" i="13"/>
  <c r="A5203" i="13"/>
  <c r="B5202" i="13"/>
  <c r="A5202" i="13"/>
  <c r="B5201" i="13"/>
  <c r="A5201" i="13"/>
  <c r="B5200" i="13"/>
  <c r="A5200" i="13"/>
  <c r="B5199" i="13"/>
  <c r="A5199" i="13"/>
  <c r="B5198" i="13"/>
  <c r="A5198" i="13"/>
  <c r="B5197" i="13"/>
  <c r="A5197" i="13"/>
  <c r="B5196" i="13"/>
  <c r="A5196" i="13"/>
  <c r="B5195" i="13"/>
  <c r="A5195" i="13"/>
  <c r="B5194" i="13"/>
  <c r="A5194" i="13"/>
  <c r="B5193" i="13"/>
  <c r="A5193" i="13"/>
  <c r="B5192" i="13"/>
  <c r="A5192" i="13"/>
  <c r="B5191" i="13"/>
  <c r="A5191" i="13"/>
  <c r="B5190" i="13"/>
  <c r="A5190" i="13"/>
  <c r="B5189" i="13"/>
  <c r="A5189" i="13"/>
  <c r="B5188" i="13"/>
  <c r="A5188" i="13"/>
  <c r="B5187" i="13"/>
  <c r="A5187" i="13"/>
  <c r="B5186" i="13"/>
  <c r="A5186" i="13"/>
  <c r="B5185" i="13"/>
  <c r="A5185" i="13"/>
  <c r="B5184" i="13"/>
  <c r="A5184" i="13"/>
  <c r="B5183" i="13"/>
  <c r="A5183" i="13"/>
  <c r="B5182" i="13"/>
  <c r="A5182" i="13"/>
  <c r="B5181" i="13"/>
  <c r="A5181" i="13"/>
  <c r="B5180" i="13"/>
  <c r="A5180" i="13"/>
  <c r="B5179" i="13"/>
  <c r="A5179" i="13"/>
  <c r="B5178" i="13"/>
  <c r="A5178" i="13"/>
  <c r="B5177" i="13"/>
  <c r="A5177" i="13"/>
  <c r="B5176" i="13"/>
  <c r="A5176" i="13"/>
  <c r="B5175" i="13"/>
  <c r="A5175" i="13"/>
  <c r="B5174" i="13"/>
  <c r="A5174" i="13"/>
  <c r="B5173" i="13"/>
  <c r="A5173" i="13"/>
  <c r="B5172" i="13"/>
  <c r="A5172" i="13"/>
  <c r="B5171" i="13"/>
  <c r="A5171" i="13"/>
  <c r="B5170" i="13"/>
  <c r="A5170" i="13"/>
  <c r="B5169" i="13"/>
  <c r="A5169" i="13"/>
  <c r="B5168" i="13"/>
  <c r="A5168" i="13"/>
  <c r="B5167" i="13"/>
  <c r="A5167" i="13"/>
  <c r="B5166" i="13"/>
  <c r="A5166" i="13"/>
  <c r="B5165" i="13"/>
  <c r="A5165" i="13"/>
  <c r="B5164" i="13"/>
  <c r="A5164" i="13"/>
  <c r="B5163" i="13"/>
  <c r="A5163" i="13"/>
  <c r="B5162" i="13"/>
  <c r="A5162" i="13"/>
  <c r="B5161" i="13"/>
  <c r="A5161" i="13"/>
  <c r="B5160" i="13"/>
  <c r="A5160" i="13"/>
  <c r="B5159" i="13"/>
  <c r="A5159" i="13"/>
  <c r="B5158" i="13"/>
  <c r="A5158" i="13"/>
  <c r="B5157" i="13"/>
  <c r="A5157" i="13"/>
  <c r="B5156" i="13"/>
  <c r="A5156" i="13"/>
  <c r="B5155" i="13"/>
  <c r="A5155" i="13"/>
  <c r="B5154" i="13"/>
  <c r="A5154" i="13"/>
  <c r="B5153" i="13"/>
  <c r="A5153" i="13"/>
  <c r="B5152" i="13"/>
  <c r="A5152" i="13"/>
  <c r="B5151" i="13"/>
  <c r="A5151" i="13"/>
  <c r="B5150" i="13"/>
  <c r="A5150" i="13"/>
  <c r="B5149" i="13"/>
  <c r="A5149" i="13"/>
  <c r="B5148" i="13"/>
  <c r="A5148" i="13"/>
  <c r="B5147" i="13"/>
  <c r="A5147" i="13"/>
  <c r="B5146" i="13"/>
  <c r="A5146" i="13"/>
  <c r="B5145" i="13"/>
  <c r="A5145" i="13"/>
  <c r="B5144" i="13"/>
  <c r="A5144" i="13"/>
  <c r="B5143" i="13"/>
  <c r="A5143" i="13"/>
  <c r="B5142" i="13"/>
  <c r="A5142" i="13"/>
  <c r="B5141" i="13"/>
  <c r="A5141" i="13"/>
  <c r="B5140" i="13"/>
  <c r="A5140" i="13"/>
  <c r="B5139" i="13"/>
  <c r="A5139" i="13"/>
  <c r="B5138" i="13"/>
  <c r="A5138" i="13"/>
  <c r="B5137" i="13"/>
  <c r="A5137" i="13"/>
  <c r="B5136" i="13"/>
  <c r="A5136" i="13"/>
  <c r="B5135" i="13"/>
  <c r="A5135" i="13"/>
  <c r="B5134" i="13"/>
  <c r="A5134" i="13"/>
  <c r="B5133" i="13"/>
  <c r="A5133" i="13"/>
  <c r="B5132" i="13"/>
  <c r="A5132" i="13"/>
  <c r="B5131" i="13"/>
  <c r="A5131" i="13"/>
  <c r="B5130" i="13"/>
  <c r="A5130" i="13"/>
  <c r="B5129" i="13"/>
  <c r="A5129" i="13"/>
  <c r="B5128" i="13"/>
  <c r="A5128" i="13"/>
  <c r="B5127" i="13"/>
  <c r="A5127" i="13"/>
  <c r="B5126" i="13"/>
  <c r="A5126" i="13"/>
  <c r="B5125" i="13"/>
  <c r="A5125" i="13"/>
  <c r="B5124" i="13"/>
  <c r="A5124" i="13"/>
  <c r="B5123" i="13"/>
  <c r="A5123" i="13"/>
  <c r="B5122" i="13"/>
  <c r="A5122" i="13"/>
  <c r="B5121" i="13"/>
  <c r="A5121" i="13"/>
  <c r="B5120" i="13"/>
  <c r="A5120" i="13"/>
  <c r="B5119" i="13"/>
  <c r="A5119" i="13"/>
  <c r="B5118" i="13"/>
  <c r="A5118" i="13"/>
  <c r="B5117" i="13"/>
  <c r="A5117" i="13"/>
  <c r="B5116" i="13"/>
  <c r="A5116" i="13"/>
  <c r="B5115" i="13"/>
  <c r="A5115" i="13"/>
  <c r="B5114" i="13"/>
  <c r="A5114" i="13"/>
  <c r="B5113" i="13"/>
  <c r="A5113" i="13"/>
  <c r="B5112" i="13"/>
  <c r="A5112" i="13"/>
  <c r="B5111" i="13"/>
  <c r="A5111" i="13"/>
  <c r="B5110" i="13"/>
  <c r="A5110" i="13"/>
  <c r="B5109" i="13"/>
  <c r="A5109" i="13"/>
  <c r="B5108" i="13"/>
  <c r="A5108" i="13"/>
  <c r="B5107" i="13"/>
  <c r="A5107" i="13"/>
  <c r="B5106" i="13"/>
  <c r="A5106" i="13"/>
  <c r="B5105" i="13"/>
  <c r="A5105" i="13"/>
  <c r="B5104" i="13"/>
  <c r="A5104" i="13"/>
  <c r="B5103" i="13"/>
  <c r="A5103" i="13"/>
  <c r="B5102" i="13"/>
  <c r="A5102" i="13"/>
  <c r="B5101" i="13"/>
  <c r="A5101" i="13"/>
  <c r="B5100" i="13"/>
  <c r="A5100" i="13"/>
  <c r="B5099" i="13"/>
  <c r="A5099" i="13"/>
  <c r="B5098" i="13"/>
  <c r="A5098" i="13"/>
  <c r="B5097" i="13"/>
  <c r="A5097" i="13"/>
  <c r="B5096" i="13"/>
  <c r="A5096" i="13"/>
  <c r="B5095" i="13"/>
  <c r="A5095" i="13"/>
  <c r="B5094" i="13"/>
  <c r="A5094" i="13"/>
  <c r="B5093" i="13"/>
  <c r="A5093" i="13"/>
  <c r="B5092" i="13"/>
  <c r="A5092" i="13"/>
  <c r="B5091" i="13"/>
  <c r="A5091" i="13"/>
  <c r="B5090" i="13"/>
  <c r="A5090" i="13"/>
  <c r="B5089" i="13"/>
  <c r="A5089" i="13"/>
  <c r="B5088" i="13"/>
  <c r="A5088" i="13"/>
  <c r="B5087" i="13"/>
  <c r="A5087" i="13"/>
  <c r="B5086" i="13"/>
  <c r="A5086" i="13"/>
  <c r="B5085" i="13"/>
  <c r="A5085" i="13"/>
  <c r="B5084" i="13"/>
  <c r="A5084" i="13"/>
  <c r="B5083" i="13"/>
  <c r="A5083" i="13"/>
  <c r="B5082" i="13"/>
  <c r="A5082" i="13"/>
  <c r="B5081" i="13"/>
  <c r="A5081" i="13"/>
  <c r="B5080" i="13"/>
  <c r="A5080" i="13"/>
  <c r="B5079" i="13"/>
  <c r="A5079" i="13"/>
  <c r="B5078" i="13"/>
  <c r="A5078" i="13"/>
  <c r="B5077" i="13"/>
  <c r="A5077" i="13"/>
  <c r="B5076" i="13"/>
  <c r="A5076" i="13"/>
  <c r="B5075" i="13"/>
  <c r="A5075" i="13"/>
  <c r="B5074" i="13"/>
  <c r="A5074" i="13"/>
  <c r="B5073" i="13"/>
  <c r="A5073" i="13"/>
  <c r="B5072" i="13"/>
  <c r="A5072" i="13"/>
  <c r="B5071" i="13"/>
  <c r="A5071" i="13"/>
  <c r="B5070" i="13"/>
  <c r="A5070" i="13"/>
  <c r="B5069" i="13"/>
  <c r="A5069" i="13"/>
  <c r="B5068" i="13"/>
  <c r="A5068" i="13"/>
  <c r="B5067" i="13"/>
  <c r="A5067" i="13"/>
  <c r="B5066" i="13"/>
  <c r="A5066" i="13"/>
  <c r="B5065" i="13"/>
  <c r="A5065" i="13"/>
  <c r="B5064" i="13"/>
  <c r="A5064" i="13"/>
  <c r="B5063" i="13"/>
  <c r="A5063" i="13"/>
  <c r="B5062" i="13"/>
  <c r="A5062" i="13"/>
  <c r="B5061" i="13"/>
  <c r="A5061" i="13"/>
  <c r="B5060" i="13"/>
  <c r="A5060" i="13"/>
  <c r="B5059" i="13"/>
  <c r="A5059" i="13"/>
  <c r="B5058" i="13"/>
  <c r="A5058" i="13"/>
  <c r="B5057" i="13"/>
  <c r="A5057" i="13"/>
  <c r="B5056" i="13"/>
  <c r="A5056" i="13"/>
  <c r="B5055" i="13"/>
  <c r="A5055" i="13"/>
  <c r="B5054" i="13"/>
  <c r="A5054" i="13"/>
  <c r="B5053" i="13"/>
  <c r="A5053" i="13"/>
  <c r="B5052" i="13"/>
  <c r="A5052" i="13"/>
  <c r="B5051" i="13"/>
  <c r="A5051" i="13"/>
  <c r="B5050" i="13"/>
  <c r="A5050" i="13"/>
  <c r="B5049" i="13"/>
  <c r="A5049" i="13"/>
  <c r="B5048" i="13"/>
  <c r="A5048" i="13"/>
  <c r="B5047" i="13"/>
  <c r="A5047" i="13"/>
  <c r="B5046" i="13"/>
  <c r="A5046" i="13"/>
  <c r="B5045" i="13"/>
  <c r="A5045" i="13"/>
  <c r="B5044" i="13"/>
  <c r="A5044" i="13"/>
  <c r="B5043" i="13"/>
  <c r="A5043" i="13"/>
  <c r="B5042" i="13"/>
  <c r="A5042" i="13"/>
  <c r="B5041" i="13"/>
  <c r="A5041" i="13"/>
  <c r="B5040" i="13"/>
  <c r="A5040" i="13"/>
  <c r="B5039" i="13"/>
  <c r="A5039" i="13"/>
  <c r="B5038" i="13"/>
  <c r="A5038" i="13"/>
  <c r="B5037" i="13"/>
  <c r="A5037" i="13"/>
  <c r="B5036" i="13"/>
  <c r="A5036" i="13"/>
  <c r="B5035" i="13"/>
  <c r="A5035" i="13"/>
  <c r="B5034" i="13"/>
  <c r="A5034" i="13"/>
  <c r="B5033" i="13"/>
  <c r="A5033" i="13"/>
  <c r="B5032" i="13"/>
  <c r="A5032" i="13"/>
  <c r="B5031" i="13"/>
  <c r="A5031" i="13"/>
  <c r="B5030" i="13"/>
  <c r="A5030" i="13"/>
  <c r="B5029" i="13"/>
  <c r="A5029" i="13"/>
  <c r="B5028" i="13"/>
  <c r="A5028" i="13"/>
  <c r="B5027" i="13"/>
  <c r="A5027" i="13"/>
  <c r="B5026" i="13"/>
  <c r="A5026" i="13"/>
  <c r="B5025" i="13"/>
  <c r="A5025" i="13"/>
  <c r="B5024" i="13"/>
  <c r="A5024" i="13"/>
  <c r="B5023" i="13"/>
  <c r="A5023" i="13"/>
  <c r="B5022" i="13"/>
  <c r="A5022" i="13"/>
  <c r="B5021" i="13"/>
  <c r="A5021" i="13"/>
  <c r="B5020" i="13"/>
  <c r="A5020" i="13"/>
  <c r="B5019" i="13"/>
  <c r="A5019" i="13"/>
  <c r="B5018" i="13"/>
  <c r="A5018" i="13"/>
  <c r="B5017" i="13"/>
  <c r="A5017" i="13"/>
  <c r="B5016" i="13"/>
  <c r="A5016" i="13"/>
  <c r="B5015" i="13"/>
  <c r="A5015" i="13"/>
  <c r="B5014" i="13"/>
  <c r="A5014" i="13"/>
  <c r="B5013" i="13"/>
  <c r="A5013" i="13"/>
  <c r="B5012" i="13"/>
  <c r="A5012" i="13"/>
  <c r="B5011" i="13"/>
  <c r="A5011" i="13"/>
  <c r="B5010" i="13"/>
  <c r="A5010" i="13"/>
  <c r="B5009" i="13"/>
  <c r="A5009" i="13"/>
  <c r="B5008" i="13"/>
  <c r="A5008" i="13"/>
  <c r="B5007" i="13"/>
  <c r="A5007" i="13"/>
  <c r="B5006" i="13"/>
  <c r="A5006" i="13"/>
  <c r="B5005" i="13"/>
  <c r="A5005" i="13"/>
  <c r="B5004" i="13"/>
  <c r="A5004" i="13"/>
  <c r="B5003" i="13"/>
  <c r="A5003" i="13"/>
  <c r="B5002" i="13"/>
  <c r="A5002" i="13"/>
  <c r="B5001" i="13"/>
  <c r="A5001" i="13"/>
  <c r="B674" i="13"/>
  <c r="A674" i="13"/>
  <c r="U6" i="7"/>
  <c r="V6" i="7" s="1"/>
  <c r="T6" i="7"/>
  <c r="S6" i="7"/>
  <c r="R6" i="7"/>
  <c r="U5" i="7"/>
  <c r="V5" i="7" s="1"/>
  <c r="T5" i="7"/>
  <c r="S5" i="7"/>
  <c r="R5" i="7"/>
  <c r="U4" i="7"/>
  <c r="V4" i="7" s="1"/>
  <c r="T4" i="7"/>
  <c r="S4" i="7"/>
  <c r="R4" i="7"/>
  <c r="N102" i="2"/>
  <c r="N101" i="2"/>
  <c r="N100" i="2"/>
  <c r="N99" i="2"/>
  <c r="N96" i="2"/>
  <c r="N98" i="2"/>
  <c r="N97" i="2"/>
  <c r="N95" i="2"/>
  <c r="N94" i="2"/>
  <c r="N93" i="2"/>
  <c r="N92" i="2"/>
  <c r="N89" i="2"/>
  <c r="N86" i="2"/>
  <c r="N84" i="2"/>
  <c r="N90" i="2"/>
  <c r="N88" i="2"/>
  <c r="N87" i="2"/>
  <c r="N85" i="2"/>
  <c r="N83" i="2"/>
  <c r="N82" i="2"/>
  <c r="N77" i="2"/>
  <c r="N76" i="2"/>
  <c r="N75" i="2"/>
  <c r="N74" i="2"/>
  <c r="N73" i="2"/>
  <c r="N70" i="2"/>
  <c r="N69" i="2"/>
  <c r="N91" i="2"/>
  <c r="N81" i="2"/>
  <c r="N80" i="2"/>
  <c r="N79" i="2"/>
  <c r="N78" i="2"/>
  <c r="N72" i="2"/>
  <c r="N71" i="2"/>
  <c r="N67" i="2"/>
  <c r="N66" i="2"/>
  <c r="N63" i="2"/>
  <c r="N61" i="2"/>
  <c r="N60" i="2"/>
  <c r="N58" i="2"/>
  <c r="N57" i="2"/>
  <c r="N55" i="2"/>
  <c r="N68" i="2"/>
  <c r="N65" i="2"/>
  <c r="N64" i="2"/>
  <c r="N62" i="2"/>
  <c r="N59" i="2"/>
  <c r="N56" i="2"/>
  <c r="N54" i="2"/>
  <c r="N53" i="2"/>
  <c r="N52" i="2"/>
  <c r="N51" i="2"/>
  <c r="N50" i="2"/>
  <c r="N49" i="2"/>
  <c r="N44" i="2"/>
  <c r="N40" i="2"/>
  <c r="N37" i="2"/>
  <c r="N36" i="2"/>
  <c r="N35" i="2"/>
  <c r="N48" i="2"/>
  <c r="N47" i="2"/>
  <c r="N45" i="2"/>
  <c r="N43" i="2"/>
  <c r="N41" i="2"/>
  <c r="N39" i="2"/>
  <c r="N38" i="2"/>
  <c r="N34" i="2"/>
  <c r="N29" i="2"/>
  <c r="N28" i="2"/>
  <c r="N27" i="2"/>
  <c r="N26" i="2"/>
  <c r="N21" i="2"/>
  <c r="N20" i="2"/>
  <c r="N46" i="2"/>
  <c r="N42" i="2"/>
  <c r="N33" i="2"/>
  <c r="N31" i="2"/>
  <c r="N30" i="2"/>
  <c r="N25" i="2"/>
  <c r="N24" i="2"/>
  <c r="N23" i="2"/>
  <c r="N22" i="2"/>
  <c r="N15" i="2"/>
  <c r="N12" i="2"/>
  <c r="N10" i="2"/>
  <c r="N32" i="2"/>
  <c r="N19" i="2"/>
  <c r="N16" i="2"/>
  <c r="N14" i="2"/>
  <c r="N13" i="2"/>
  <c r="N11" i="2"/>
  <c r="N6" i="2"/>
  <c r="N5" i="2"/>
  <c r="N18" i="2"/>
  <c r="N17" i="2"/>
  <c r="N9" i="2"/>
  <c r="N8" i="2"/>
  <c r="N7" i="2"/>
  <c r="N4" i="2"/>
  <c r="A1" i="2"/>
  <c r="U29" i="1"/>
  <c r="S29" i="1"/>
  <c r="X16" i="1"/>
  <c r="W16" i="1"/>
  <c r="V37" i="1"/>
  <c r="U37" i="1"/>
  <c r="T37" i="1"/>
  <c r="S37" i="1"/>
  <c r="Q37" i="1"/>
  <c r="P37" i="1"/>
  <c r="O37" i="1"/>
  <c r="U24" i="1"/>
  <c r="O24" i="1"/>
  <c r="S32" i="1"/>
  <c r="R22" i="1"/>
  <c r="Q22" i="1"/>
  <c r="T1" i="1"/>
  <c r="B2" i="4"/>
  <c r="C2" i="4" s="1"/>
  <c r="C3" i="4" s="1"/>
  <c r="C4" i="4" s="1"/>
  <c r="C5" i="4" s="1"/>
  <c r="F1" i="4"/>
  <c r="E1" i="4"/>
  <c r="C6" i="4" l="1"/>
  <c r="C7" i="4" s="1"/>
  <c r="W15" i="1"/>
  <c r="T22" i="1"/>
  <c r="P32" i="1"/>
  <c r="R24" i="1"/>
  <c r="P29" i="1"/>
  <c r="P31" i="1" s="1"/>
  <c r="V29" i="1"/>
  <c r="V30" i="1" s="1"/>
  <c r="T23" i="1"/>
  <c r="R34" i="1"/>
  <c r="R35" i="1" s="1"/>
  <c r="T36" i="1"/>
  <c r="W9" i="1"/>
  <c r="P24" i="1"/>
  <c r="V24" i="1"/>
  <c r="T29" i="1"/>
  <c r="T30" i="1" s="1"/>
  <c r="S26" i="1"/>
  <c r="O23" i="1"/>
  <c r="U23" i="1"/>
  <c r="O29" i="1"/>
  <c r="O31" i="1" s="1"/>
  <c r="O22" i="1"/>
  <c r="O34" i="1"/>
  <c r="O35" i="1" s="1"/>
  <c r="U34" i="1"/>
  <c r="U35" i="1" s="1"/>
  <c r="Q29" i="1"/>
  <c r="Q31" i="1" s="1"/>
  <c r="U31" i="1"/>
  <c r="P23" i="1"/>
  <c r="T27" i="1"/>
  <c r="R23" i="1"/>
  <c r="P34" i="1"/>
  <c r="P35" i="1" s="1"/>
  <c r="V34" i="1"/>
  <c r="V35" i="1" s="1"/>
  <c r="W3" i="1"/>
  <c r="R36" i="1"/>
  <c r="S24" i="1"/>
  <c r="R26" i="1"/>
  <c r="U27" i="1"/>
  <c r="S23" i="1"/>
  <c r="Q34" i="1"/>
  <c r="Q35" i="1" s="1"/>
  <c r="P25" i="1"/>
  <c r="O25" i="1" s="1"/>
  <c r="V25" i="1"/>
  <c r="T24" i="1"/>
  <c r="R29" i="1"/>
  <c r="R30" i="1" s="1"/>
  <c r="S34" i="1"/>
  <c r="S35" i="1" s="1"/>
  <c r="U32" i="1"/>
  <c r="T32" i="1"/>
  <c r="T26" i="1"/>
  <c r="Q27" i="1"/>
  <c r="O32" i="1"/>
  <c r="U26" i="1"/>
  <c r="R27" i="1"/>
  <c r="T34" i="1"/>
  <c r="T35" i="1" s="1"/>
  <c r="V36" i="1"/>
  <c r="Q24" i="1"/>
  <c r="V32" i="1"/>
  <c r="R37" i="1"/>
  <c r="V26" i="1"/>
  <c r="S27" i="1"/>
  <c r="Q23" i="1"/>
  <c r="Q36" i="1"/>
  <c r="P36" i="1" s="1"/>
  <c r="P27" i="1"/>
  <c r="O27" i="1" s="1"/>
  <c r="V27" i="1"/>
  <c r="T25" i="1"/>
  <c r="S31" i="1"/>
  <c r="S30" i="1"/>
  <c r="S22" i="1"/>
  <c r="U25" i="1"/>
  <c r="Q26" i="1"/>
  <c r="V23" i="1"/>
  <c r="U22" i="1"/>
  <c r="Q25" i="1"/>
  <c r="Q32" i="1"/>
  <c r="P26" i="1"/>
  <c r="S36" i="1"/>
  <c r="U30" i="1"/>
  <c r="U36" i="1"/>
  <c r="X15" i="1"/>
  <c r="P22" i="1"/>
  <c r="V22" i="1"/>
  <c r="R25" i="1"/>
  <c r="R32" i="1"/>
  <c r="S25" i="1"/>
  <c r="T31" i="1" l="1"/>
  <c r="Q30" i="1"/>
  <c r="P30" i="1"/>
  <c r="O30" i="1" s="1"/>
  <c r="V31" i="1"/>
  <c r="X24" i="1"/>
  <c r="S28" i="1"/>
  <c r="U28" i="1"/>
  <c r="Q28" i="1"/>
  <c r="W24" i="1"/>
  <c r="R31" i="1"/>
  <c r="W31" i="1"/>
  <c r="O33" i="1" s="1"/>
  <c r="X22" i="1"/>
  <c r="T28" i="1"/>
  <c r="W22" i="1"/>
  <c r="V28" i="1"/>
  <c r="R28" i="1"/>
  <c r="O26" i="1"/>
  <c r="O28" i="1" s="1"/>
  <c r="P28" i="1"/>
  <c r="R33" i="1" l="1"/>
  <c r="U33" i="1"/>
  <c r="V33" i="1"/>
  <c r="Q33" i="1"/>
  <c r="S33" i="1"/>
  <c r="T33" i="1"/>
  <c r="P33" i="1"/>
  <c r="X25" i="1"/>
  <c r="W28" i="1"/>
  <c r="W25" i="1"/>
</calcChain>
</file>

<file path=xl/comments1.xml><?xml version="1.0" encoding="utf-8"?>
<comments xmlns="http://schemas.openxmlformats.org/spreadsheetml/2006/main">
  <authors>
    <author>SW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 shape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 shape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5">
    <webPr sourceData="1" xl2000="1" url="http://justdata.yuanta.com.tw/z/zc/zcl/zcl.djhtm?a=1565&amp;b=2" htmlTables="1"/>
  </connection>
  <connection id="2" name="連線1024" type="4" refreshedVersion="0" background="1">
    <webPr url="http://www.emega.com.tw/z/zc/zch/zch_2108.djhtm" htmlTables="1" htmlFormat="all"/>
  </connection>
  <connection id="3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4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5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6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7" name="連線1152" type="4" refreshedVersion="0" background="1">
    <webPr url="http://tw.stock.yahoo.com/q/q?s=8341" htmlTables="1" htmlFormat="all"/>
  </connection>
  <connection id="8" name="連線119" type="4" refreshedVersion="0" background="1">
    <webPr url="http://justdata.yuanta.com.tw/z/zc/zcq/zcq_2637.asp.htm" htmlTables="1" htmlFormat="all"/>
  </connection>
  <connection id="9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10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11" name="連線1389" type="4" refreshedVersion="0" background="1">
    <webPr url="http://www.emega.com.tw/z/zc/zcn/zcn.djhtm?a=6431&amp;b=4" htmlTables="1" htmlFormat="all"/>
  </connection>
  <connection id="12" name="連線14" type="4" refreshedVersion="0" background="1">
    <webPr url="http://www.cnyes.com/twstock/Technical/3587.htm" htmlTables="1" htmlFormat="all"/>
  </connection>
  <connection id="13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14" name="連線15" type="4" refreshedVersion="5">
    <webPr sourceData="1" xl2000="1" url="http://justdata.yuanta.com.tw/z/zc/zcl/zcl.djhtm?a=6274&amp;b=2" htmlTables="1"/>
  </connection>
  <connection id="15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16" name="連線1567" type="4" refreshedVersion="0" background="1">
    <webPr url="https://www.stockdog.com.tw/m/index.php?type=0&amp;sid=1109" htmlTables="1" htmlFormat="all"/>
  </connection>
  <connection id="17" name="連線16" type="4" refreshedVersion="0" background="1">
    <webPr url="http://www.cnyes.com/twstock/Technical/2313.htm" htmlTables="1" htmlFormat="all"/>
  </connection>
  <connection id="18" name="連線1608" type="4" refreshedVersion="5" background="1" saveData="1">
    <webPr sourceData="1" parsePre="1" consecutive="1" xl2000="1" url="http://justdata.yuanta.com.tw/z/zc/zcp/zcpa/zcpa_3034.asp.htm" htmlTables="1"/>
  </connection>
  <connection id="19" name="連線1609" type="4" refreshedVersion="5" background="1" saveData="1">
    <webPr sourceData="1" parsePre="1" consecutive="1" xl2000="1" url="http://justdata.yuanta.com.tw/z/zc/zc3/zc3_3034.asp.htm" htmlTables="1"/>
  </connection>
  <connection id="20" name="連線1610" type="4" refreshedVersion="5" background="1" saveData="1">
    <webPr sourceData="1" parsePre="1" consecutive="1" xl2000="1" url="http://justdata.yuanta.com.tw/z/zc/zcq/zcq_2379.asp.htm" htmlTables="1"/>
  </connection>
  <connection id="21" name="連線1611" type="4" refreshedVersion="5" background="1" saveData="1">
    <webPr sourceData="1" parsePre="1" consecutive="1" xl2000="1" url="http://justdata.yuanta.com.tw/z/zc/zcp/zcpa/zcpa_2379.asp.htm" htmlTables="1"/>
  </connection>
  <connection id="22" name="連線1612" type="4" refreshedVersion="5" background="1" saveData="1">
    <webPr sourceData="1" parsePre="1" consecutive="1" xl2000="1" url="http://justdata.yuanta.com.tw/z/zc/zc3/zc3_2379.asp.htm" htmlTables="1"/>
  </connection>
  <connection id="23" name="連線1613" type="4" refreshedVersion="5">
    <webPr sourceData="1" xl2000="1" url="http://justdata.yuanta.com.tw/z/zc/zcl/zcl.djhtm?a=2062&amp;b=2" htmlTables="1"/>
  </connection>
  <connection id="24" name="連線1614" type="4" refreshedVersion="5">
    <webPr sourceData="1" xl2000="1" url="http://justdata.yuanta.com.tw/z/zc/zcl/zcl.djhtm?a=8086&amp;b=2" htmlTables="1"/>
  </connection>
  <connection id="25" name="連線1615" type="4" refreshedVersion="5">
    <webPr sourceData="1" xl2000="1" url="http://justdata.yuanta.com.tw/z/zc/zcl/zcl.djhtm?a=5203&amp;b=2" htmlTables="1"/>
  </connection>
  <connection id="26" name="連線1616" type="4" refreshedVersion="5">
    <webPr sourceData="1" xl2000="1" url="http://justdata.yuanta.com.tw/z/zc/zcl/zcl.djhtm?a=5904&amp;b=2" htmlTables="1"/>
  </connection>
  <connection id="27" name="連線1617" type="4" refreshedVersion="5">
    <webPr sourceData="1" xl2000="1" url="http://justdata.yuanta.com.tw/z/zc/zcl/zcl.djhtm?a=3068&amp;b=2" htmlTables="1"/>
  </connection>
  <connection id="28" name="連線1618" type="4" refreshedVersion="5">
    <webPr sourceData="1" xl2000="1" url="http://justdata.yuanta.com.tw/z/zc/zcl/zcl.djhtm?a=3529&amp;b=2" htmlTables="1"/>
  </connection>
  <connection id="29" name="連線1619" type="4" refreshedVersion="5">
    <webPr sourceData="1" xl2000="1" url="http://justdata.yuanta.com.tw/z/zc/zcl/zcl.djhtm?a=4126&amp;b=2" htmlTables="1"/>
  </connection>
  <connection id="30" name="連線1620" type="4" refreshedVersion="5">
    <webPr sourceData="1" xl2000="1" url="http://justdata.yuanta.com.tw/z/zc/zcl/zcl.djhtm?a=3587&amp;b=2" htmlTables="1"/>
  </connection>
  <connection id="31" name="連線1621" type="4" refreshedVersion="5">
    <webPr sourceData="1" xl2000="1" url="http://justdata.yuanta.com.tw/z/zc/zcl/zcl.djhtm?a=4991&amp;b=2" htmlTables="1"/>
  </connection>
  <connection id="32" name="連線1622" type="4" refreshedVersion="5">
    <webPr sourceData="1" xl2000="1" url="http://justdata.yuanta.com.tw/z/zc/zcl/zcl.djhtm?a=4188&amp;b=2" htmlTables="1"/>
  </connection>
  <connection id="33" name="連線1623" type="4" refreshedVersion="5">
    <webPr sourceData="1" xl2000="1" url="http:jsjustweb.jihsun.com.tw/z/zc/zco/zco0/zco0.djhtm?a=5315&amp;b=6480" htmlTables="1"/>
  </connection>
  <connection id="34" name="連線1624" type="4" refreshedVersion="5">
    <webPr sourceData="1" xl2000="1" url="http:jsjustweb.jihsun.com.tw/z/zc/zco/zco0/zco0.djhtm?a=1570&amp;b=6480" htmlTables="1"/>
  </connection>
  <connection id="35" name="連線1625" type="4" refreshedVersion="5">
    <webPr sourceData="1" xl2000="1" url="http:jsjustweb.jihsun.com.tw/z/zc/zco/zco0/zco0.djhtm?a=5315&amp;b=6480" htmlTables="1"/>
  </connection>
  <connection id="36" name="連線1626" type="4" refreshedVersion="5">
    <webPr sourceData="1" xl2000="1" url="http:jsjustweb.jihsun.com.tw/z/zc/zco/zco0/zco0.djhtm?a=3511&amp;b=6480" htmlTables="1"/>
  </connection>
  <connection id="37" name="連線1627" type="4" refreshedVersion="5">
    <webPr sourceData="1" xl2000="1" url="http:jsjustweb.jihsun.com.tw/z/zc/zco/zco0/zco0.djhtm?a=1442&amp;b=6480" htmlTables="1"/>
  </connection>
  <connection id="38" name="連線1628" type="4" refreshedVersion="5">
    <webPr sourceData="1" xl2000="1" url="http:jsjustweb.jihsun.com.tw/z/zc/zco/zco0/zco0.djhtm?a=1471&amp;b=6480" htmlTables="1"/>
  </connection>
  <connection id="39" name="連線1629" type="4" refreshedVersion="5">
    <webPr sourceData="1" xl2000="1" url="http:jsjustweb.jihsun.com.tw/z/zc/zco/zco0/zco0.djhtm?a=4722&amp;b=6480" htmlTables="1"/>
  </connection>
  <connection id="40" name="連線1630" type="4" refreshedVersion="5">
    <webPr sourceData="1" xl2000="1" url="http:jsjustweb.jihsun.com.tw/z/zc/zco/zco0/zco0.djhtm?a=8433&amp;b=6480" htmlTables="1"/>
  </connection>
  <connection id="41" name="連線1631" type="4" refreshedVersion="5">
    <webPr sourceData="1" xl2000="1" url="http:jsjustweb.jihsun.com.tw/z/zc/zco/zco0/zco0.djhtm?a=6220&amp;b=6480" htmlTables="1"/>
  </connection>
  <connection id="42" name="連線1632" type="4" refreshedVersion="5">
    <webPr sourceData="1" xl2000="1" url="http:jsjustweb.jihsun.com.tw/z/zc/zco/zco0/zco0.djhtm?a=3038&amp;b=6480" htmlTables="1"/>
  </connection>
  <connection id="43" name="連線1633" type="4" refreshedVersion="5">
    <webPr sourceData="1" xl2000="1" url="http:jsjustweb.jihsun.com.tw/z/zc/zco/zco0/zco0.djhtm?a=1541&amp;b=6480" htmlTables="1"/>
  </connection>
  <connection id="44" name="連線1634" type="4" refreshedVersion="5">
    <webPr sourceData="1" xl2000="1" url="http:jsjustweb.jihsun.com.tw/z/zc/zco/zco0/zco0.djhtm?a=9924&amp;b=6480" htmlTables="1"/>
  </connection>
  <connection id="45" name="連線1635" type="4" refreshedVersion="5">
    <webPr sourceData="1" xl2000="1" url="http:jsjustweb.jihsun.com.tw/z/zc/zco/zco0/zco0.djhtm?a=9934&amp;b=6480" htmlTables="1"/>
  </connection>
  <connection id="46" name="連線1636" type="4" refreshedVersion="0" background="1">
    <webPr url="http://justdata.yuanta.com.tw/z/zc/zcq/zcq_.asp.htm" htmlTables="1" htmlFormat="all"/>
  </connection>
  <connection id="47" name="連線1637" type="4" refreshedVersion="5">
    <webPr sourceData="1" xl2000="1" url="http:jsjustweb.jihsun.com.tw/z/zc/zco/zco0/zco0.djhtm?a=2634&amp;b=6480" htmlTables="1"/>
  </connection>
  <connection id="48" name="連線1638" type="4" refreshedVersion="5">
    <webPr sourceData="1" xl2000="1" url="http:jsjustweb.jihsun.com.tw/z/zc/zco/zco0/zco0.djhtm?a=8222&amp;b=6480" htmlTables="1"/>
  </connection>
  <connection id="49" name="連線1639" type="4" refreshedVersion="5">
    <webPr sourceData="1" xl2000="1" url="http:jsjustweb.jihsun.com.tw/z/zc/zco/zco0/zco0.djhtm?a=4541&amp;b=6480" htmlTables="1"/>
  </connection>
  <connection id="50" name="連線1640" type="4" refreshedVersion="5">
    <webPr sourceData="1" xl2000="1" url="http:jsjustweb.jihsun.com.tw/z/zc/zco/zco0/zco0.djhtm?a=3004&amp;b=6480" htmlTables="1"/>
  </connection>
  <connection id="51" name="連線1641" type="4" refreshedVersion="5">
    <webPr sourceData="1" xl2000="1" url="http:jsjustweb.jihsun.com.tw/z/zc/zco/zco0/zco0.djhtm?a=2455&amp;b=6480" htmlTables="1"/>
  </connection>
  <connection id="52" name="連線1642" type="4" refreshedVersion="5">
    <webPr sourceData="1" xl2000="1" url="http:jsjustweb.jihsun.com.tw/z/zc/zco/zco0/zco0.djhtm?a=3105&amp;b=6480" htmlTables="1"/>
  </connection>
  <connection id="53" name="連線1643" type="4" refreshedVersion="5">
    <webPr sourceData="1" xl2000="1" url="http:jsjustweb.jihsun.com.tw/z/zc/zco/zco0/zco0.djhtm?a=6205&amp;b=6480" htmlTables="1"/>
  </connection>
  <connection id="54" name="連線1644" type="4" refreshedVersion="5">
    <webPr sourceData="1" xl2000="1" url="http:jsjustweb.jihsun.com.tw/z/zc/zco/zco0/zco0.djhtm?a=4401&amp;b=6480" htmlTables="1"/>
  </connection>
  <connection id="55" name="連線1645" type="4" refreshedVersion="5">
    <webPr sourceData="1" xl2000="1" url="http:jsjustweb.jihsun.com.tw/z/zc/zco/zco0/zco0.djhtm?a=1471&amp;b=6480" htmlTables="1"/>
  </connection>
  <connection id="56" name="連線1646" type="4" refreshedVersion="5">
    <webPr sourceData="1" xl2000="1" url="http:jsjustweb.jihsun.com.tw/z/zc/zco/zco0/zco0.djhtm?a=1442&amp;b=6480" htmlTables="1"/>
  </connection>
  <connection id="57" name="連線1647" type="4" refreshedVersion="5">
    <webPr sourceData="1" xl2000="1" url="http:jsjustweb.jihsun.com.tw/z/zc/zco/zco0/zco0.djhtm?a=5245&amp;b=6480" htmlTables="1"/>
  </connection>
  <connection id="58" name="連線1648" type="4" refreshedVersion="5">
    <webPr sourceData="1" xl2000="1" url="http:jsjustweb.jihsun.com.tw/z/zc/zco/zco0/zco0.djhtm?a=8042&amp;b=6480" htmlTables="1"/>
  </connection>
  <connection id="59" name="連線1649" type="4" refreshedVersion="5">
    <webPr sourceData="1" xl2000="1" url="http:jsjustweb.jihsun.com.tw/z/zc/zco/zco0/zco0.djhtm?a=2437&amp;b=6480" htmlTables="1"/>
  </connection>
  <connection id="60" name="連線1650" type="4" refreshedVersion="5">
    <webPr sourceData="1" xl2000="1" url="http:jsjustweb.jihsun.com.tw/z/zc/zco/zco0/zco0.djhtm?a=8255&amp;b=6480" htmlTables="1"/>
  </connection>
  <connection id="61" name="連線1651" type="4" refreshedVersion="5">
    <webPr sourceData="1" xl2000="1" url="http:jsjustweb.jihsun.com.tw/z/zc/zco/zco0/zco0.djhtm?a=6277&amp;b=6480" htmlTables="1"/>
  </connection>
  <connection id="62" name="連線1652" type="4" refreshedVersion="5">
    <webPr sourceData="1" xl2000="1" url="http:jsjustweb.jihsun.com.tw/z/zc/zco/zco0/zco0.djhtm?a=8050&amp;b=6480" htmlTables="1"/>
  </connection>
  <connection id="63" name="連線1653" type="4" refreshedVersion="5">
    <webPr sourceData="1" xl2000="1" url="http://justdata.yuanta.com.tw/z/zc/zcl/zcl.djhtm?a=2303&amp;b=2" htmlTables="1"/>
  </connection>
  <connection id="64" name="連線1654" type="4" refreshedVersion="5">
    <webPr sourceData="1" xl2000="1" url="http://justdata.yuanta.com.tw/z/zc/zcl/zcl.djhtm?a=3045&amp;b=2" htmlTables="1"/>
  </connection>
  <connection id="65" name="連線1655" type="4" refreshedVersion="5">
    <webPr sourceData="1" xl2000="1" url="http://justdata.yuanta.com.tw/z/zc/zcl/zcl.djhtm?a=6176&amp;b=2" htmlTables="1"/>
  </connection>
  <connection id="66" name="連線1656" type="4" refreshedVersion="5">
    <webPr sourceData="1" xl2000="1" url="http://justdata.yuanta.com.tw/z/zc/zcl/zcl.djhtm?a=6213&amp;b=2" htmlTables="1"/>
  </connection>
  <connection id="67" name="連線1657" type="4" refreshedVersion="5">
    <webPr sourceData="1" xl2000="1" url="http://justdata.yuanta.com.tw/z/zc/zcl/zcl.djhtm?a=4919&amp;b=2" htmlTables="1"/>
  </connection>
  <connection id="68" name="連線1658" type="4" refreshedVersion="5">
    <webPr sourceData="1" xl2000="1" url="http://justdata.yuanta.com.tw/z/zc/zcl/zcl.djhtm?a=2439&amp;b=2" htmlTables="1"/>
  </connection>
  <connection id="69" name="連線1659" type="4" refreshedVersion="5">
    <webPr sourceData="1" xl2000="1" url="http://justdata.yuanta.com.tw/z/zc/zcl/zcl.djhtm?a=8942&amp;b=2" htmlTables="1"/>
  </connection>
  <connection id="70" name="連線1660" type="4" refreshedVersion="5">
    <webPr sourceData="1" xl2000="1" url="http://justdata.yuanta.com.tw/z/zc/zcl/zcl.djhtm?a=3504&amp;b=2" htmlTables="1"/>
  </connection>
  <connection id="71" name="連線1661" type="4" refreshedVersion="5">
    <webPr sourceData="1" xl2000="1" url="http://justdata.yuanta.com.tw/z/zc/zcl/zcl.djhtm?a=6143&amp;b=2" htmlTables="1"/>
  </connection>
  <connection id="72" name="連線1662" type="4" refreshedVersion="5">
    <webPr sourceData="1" xl2000="1" url="http://justdata.yuanta.com.tw/z/zc/zcl/zcl.djhtm?a=8079&amp;b=2" htmlTables="1"/>
  </connection>
  <connection id="73" name="連線1663" type="4" refreshedVersion="5">
    <webPr sourceData="1" xl2000="1" url="http://justdata.yuanta.com.tw/z/zc/zcl/zcl.djhtm?a=4966&amp;b=2" htmlTables="1"/>
  </connection>
  <connection id="74" name="連線1664" type="4" refreshedVersion="5">
    <webPr sourceData="1" xl2000="1" url="http://justdata.yuanta.com.tw/z/zc/zcl/zcl.djhtm?a=8074&amp;b=2" htmlTables="1"/>
  </connection>
  <connection id="75" name="連線1665" type="4" refreshedVersion="5">
    <webPr sourceData="1" xl2000="1" url="http://justdata.yuanta.com.tw/z/zc/zcl/zcl.djhtm?a=3675&amp;b=2" htmlTables="1"/>
  </connection>
  <connection id="76" name="連線1666" type="4" refreshedVersion="5">
    <webPr sourceData="1" xl2000="1" url="http://justdata.yuanta.com.tw/z/zc/zcl/zcl.djhtm?a=3511&amp;b=2" htmlTables="1"/>
  </connection>
  <connection id="77" name="連線1667" type="4" refreshedVersion="5">
    <webPr sourceData="1" xl2000="1" url="http://justdata.yuanta.com.tw/z/zc/zcl/zcl.djhtm?a=2489&amp;b=2" htmlTables="1"/>
  </connection>
  <connection id="78" name="連線1668" type="4" refreshedVersion="5">
    <webPr sourceData="1" xl2000="1" url="http://justdata.yuanta.com.tw/z/zc/zcl/zcl.djhtm?a=3372&amp;b=2" htmlTables="1"/>
  </connection>
  <connection id="79" name="連線1669" type="4" refreshedVersion="5">
    <webPr sourceData="1" xl2000="1" url="http://justdata.yuanta.com.tw/z/zc/zcl/zcl.djhtm?a=5007&amp;b=2" htmlTables="1"/>
  </connection>
  <connection id="80" name="連線1670" type="4" refreshedVersion="5">
    <webPr sourceData="1" xl2000="1" url="http://justdata.yuanta.com.tw/z/zc/zcl/zcl.djhtm?a=1560&amp;b=2" htmlTables="1"/>
  </connection>
  <connection id="81" name="連線1671" type="4" refreshedVersion="5">
    <webPr sourceData="1" xl2000="1" url="http://justdata.yuanta.com.tw/z/zc/zcl/zcl.djhtm?a=4721&amp;b=2" htmlTables="1"/>
  </connection>
  <connection id="82" name="連線1672" type="4" refreshedVersion="5">
    <webPr sourceData="1" xl2000="1" url="http://justdata.yuanta.com.tw/z/zc/zcl/zcl.djhtm?a=3324&amp;b=2" htmlTables="1"/>
  </connection>
  <connection id="83" name="連線1673" type="4" refreshedVersion="5">
    <webPr sourceData="1" xl2000="1" url="http://justdata.yuanta.com.tw/z/zc/zcl/zcl.djhtm?a=3623&amp;b=2" htmlTables="1"/>
  </connection>
  <connection id="84" name="連線1674" type="4" refreshedVersion="5">
    <webPr sourceData="1" xl2000="1" url="http://justdata.yuanta.com.tw/z/zc/zcl/zcl.djhtm?a=3563&amp;b=2" htmlTables="1"/>
  </connection>
  <connection id="85" name="連線1675" type="4" refreshedVersion="5">
    <webPr sourceData="1" xl2000="1" url="http://justdata.yuanta.com.tw/z/zc/zcl/zcl.djhtm?a=4972&amp;b=2" htmlTables="1"/>
  </connection>
  <connection id="86" name="連線1676" type="4" refreshedVersion="5">
    <webPr sourceData="1" xl2000="1" url="http://justdata.yuanta.com.tw/z/zc/zcl/zcl.djhtm?a=6231&amp;b=2" htmlTables="1"/>
  </connection>
  <connection id="87" name="連線1677" type="4" refreshedVersion="5">
    <webPr sourceData="1" xl2000="1" url="http://justdata.yuanta.com.tw/z/zc/zcl/zcl.djhtm?a=8083&amp;b=2" htmlTables="1"/>
  </connection>
  <connection id="88" name="連線1678" type="4" refreshedVersion="5">
    <webPr sourceData="1" xl2000="1" url="http://justdata.yuanta.com.tw/z/zc/zcl/zcl.djhtm?a=6210&amp;b=2" htmlTables="1"/>
  </connection>
  <connection id="89" name="連線1679" type="4" refreshedVersion="5">
    <webPr sourceData="1" xl2000="1" url="http://justdata.yuanta.com.tw/z/zc/zcl/zcl.djhtm?a=2344&amp;b=2" htmlTables="1"/>
  </connection>
  <connection id="90" name="連線1680" type="4" refreshedVersion="5">
    <webPr sourceData="1" xl2000="1" url="http://justdata.yuanta.com.tw/z/zc/zcl/zcl.djhtm?a=5347&amp;b=2" htmlTables="1"/>
  </connection>
  <connection id="91" name="連線1681" type="4" refreshedVersion="5">
    <webPr sourceData="1" xl2000="1" url="http://justdata.yuanta.com.tw/z/zc/zcl/zcl.djhtm?a=2395&amp;b=2" htmlTables="1"/>
  </connection>
  <connection id="92" name="連線1682" type="4" refreshedVersion="5">
    <webPr sourceData="1" xl2000="1" url="http://justdata.yuanta.com.tw/z/zc/zcl/zcl.djhtm?a=5371&amp;b=2" htmlTables="1"/>
  </connection>
  <connection id="93" name="連線1683" type="4" refreshedVersion="5">
    <webPr sourceData="1" xl2000="1" url="http://justdata.yuanta.com.tw/z/zc/zcl/zcl.djhtm?a=3189&amp;b=2" htmlTables="1"/>
  </connection>
  <connection id="94" name="連線1684" type="4" refreshedVersion="5">
    <webPr sourceData="1" xl2000="1" url="http://justdata.yuanta.com.tw/z/zc/zcl/zcl.djhtm?a=6278&amp;b=2" htmlTables="1"/>
  </connection>
  <connection id="95" name="連線1685" type="4" refreshedVersion="5">
    <webPr sourceData="1" xl2000="1" url="http://justdata.yuanta.com.tw/z/zc/zcl/zcl.djhtm?a=2442&amp;b=2" htmlTables="1"/>
  </connection>
  <connection id="96" name="連線1686" type="4" refreshedVersion="5">
    <webPr sourceData="1" xl2000="1" url="http://justdata.yuanta.com.tw/z/zc/zcl/zcl.djhtm?a=6129&amp;b=2" htmlTables="1"/>
  </connection>
  <connection id="97" name="連線1687" type="4" refreshedVersion="5">
    <webPr sourceData="1" xl2000="1" url="http://justdata.yuanta.com.tw/z/zc/zcl/zcl.djhtm?a=4743&amp;b=2" htmlTables="1"/>
  </connection>
  <connection id="98" name="連線1688" type="4" refreshedVersion="5">
    <webPr sourceData="1" xl2000="1" url="http://justdata.yuanta.com.tw/z/zc/zcl/zcl.djhtm?a=3211&amp;b=2" htmlTables="1"/>
  </connection>
  <connection id="99" name="連線1689" type="4" refreshedVersion="5">
    <webPr sourceData="1" xl2000="1" url="http://justdata.yuanta.com.tw/z/zc/zcl/zcl.djhtm?a=8454&amp;b=2" htmlTables="1"/>
  </connection>
  <connection id="100" name="連線1690" type="4" refreshedVersion="5">
    <webPr sourceData="1" xl2000="1" url="http://justdata.yuanta.com.tw/z/zc/zcl/zcl.djhtm?a=1452&amp;b=2" htmlTables="1"/>
  </connection>
  <connection id="101" name="連線1691" type="4" refreshedVersion="5">
    <webPr sourceData="1" xl2000="1" url="http://justdata.yuanta.com.tw/z/zc/zcl/zcl.djhtm?a=6127&amp;b=2" htmlTables="1"/>
  </connection>
  <connection id="102" name="連線1692" type="4" refreshedVersion="5">
    <webPr sourceData="1" xl2000="1" url="http://justdata.yuanta.com.tw/z/zc/zcl/zcl.djhtm?a=3658&amp;b=2" htmlTables="1"/>
  </connection>
  <connection id="103" name="連線1693" type="4" refreshedVersion="5">
    <webPr sourceData="1" xl2000="1" url="http://justdata.yuanta.com.tw/z/zc/zcl/zcl.djhtm?a=3081&amp;b=2" htmlTables="1"/>
  </connection>
  <connection id="104" name="連線1694" type="4" refreshedVersion="5">
    <webPr sourceData="1" xl2000="1" url="http://justdata.yuanta.com.tw/z/zc/zcl/zcl.djhtm?a=4911&amp;b=2" htmlTables="1"/>
  </connection>
  <connection id="105" name="連線1695" type="4" refreshedVersion="5">
    <webPr sourceData="1" xl2000="1" url="http://justdata.yuanta.com.tw/z/zc/zcl/zcl.djhtm?a=4152&amp;b=2" htmlTables="1"/>
  </connection>
  <connection id="106" name="連線1696" type="4" refreshedVersion="5">
    <webPr sourceData="1" xl2000="1" url="http://justdata.yuanta.com.tw/z/zc/zcl/zcl.djhtm?a=3577&amp;b=2" htmlTables="1"/>
  </connection>
  <connection id="107" name="連線1697" type="4" refreshedVersion="5">
    <webPr sourceData="1" xl2000="1" url="http://justdata.yuanta.com.tw/z/zc/zcl/zcl.djhtm?a=3093&amp;b=2" htmlTables="1"/>
  </connection>
  <connection id="108" name="連線1698" type="4" refreshedVersion="5">
    <webPr sourceData="1" xl2000="1" url="http://justdata.yuanta.com.tw/z/zc/zcl/zcl.djhtm?a=1605&amp;b=2" htmlTables="1"/>
  </connection>
  <connection id="109" name="連線1699" type="4" refreshedVersion="5">
    <webPr sourceData="1" xl2000="1" url="http://justdata.yuanta.com.tw/z/zc/zcl/zcl.djhtm?a=9940&amp;b=2" htmlTables="1"/>
  </connection>
  <connection id="110" name="連線17" type="4" refreshedVersion="5">
    <webPr sourceData="1" xl2000="1" url="http://justdata.yuanta.com.tw/z/zc/zcl/zcl.djhtm?a=6202&amp;b=2" htmlTables="1"/>
  </connection>
  <connection id="111" name="連線1700" type="4" refreshedVersion="5">
    <webPr sourceData="1" xl2000="1" url="http://justdata.yuanta.com.tw/z/zc/zcl/zcl.djhtm?a=6251&amp;b=2" htmlTables="1"/>
  </connection>
  <connection id="112" name="連線1701" type="4" refreshedVersion="5">
    <webPr sourceData="1" xl2000="1" url="http://justdata.yuanta.com.tw/z/zc/zcl/zcl.djhtm?a=3030&amp;b=2" htmlTables="1"/>
  </connection>
  <connection id="113" name="連線1702" type="4" refreshedVersion="5">
    <webPr sourceData="1" xl2000="1" url="http://justdata.yuanta.com.tw/z/zc/zcl/zcl.djhtm?a=2013&amp;b=2" htmlTables="1"/>
  </connection>
  <connection id="114" name="連線1703" type="4" refreshedVersion="5">
    <webPr sourceData="1" xl2000="1" url="http://justdata.yuanta.com.tw/z/zc/zcl/zcl.djhtm?a=4712&amp;b=2" htmlTables="1"/>
  </connection>
  <connection id="115" name="連線1704" type="4" refreshedVersion="5">
    <webPr sourceData="1" xl2000="1" url="http://justdata.yuanta.com.tw/z/zc/zcl/zcl.djhtm?a=8059&amp;b=2" htmlTables="1"/>
  </connection>
  <connection id="116" name="連線1705" type="4" refreshedVersion="5">
    <webPr sourceData="1" xl2000="1" url="http://justdata.yuanta.com.tw/z/zc/zcl/zcl.djhtm?a=8437&amp;b=2" htmlTables="1"/>
  </connection>
  <connection id="117" name="連線1706" type="4" refreshedVersion="5">
    <webPr sourceData="1" xl2000="1" url="http://justdata.yuanta.com.tw/z/zc/zcl/zcl.djhtm?a=6417&amp;b=2" htmlTables="1"/>
  </connection>
  <connection id="118" name="連線1707" type="4" refreshedVersion="5">
    <webPr sourceData="1" xl2000="1" url="http://justdata.yuanta.com.tw/z/zc/zcl/zcl.djhtm?a=2455&amp;b=2" htmlTables="1"/>
  </connection>
  <connection id="119" name="連線1708" type="4" refreshedVersion="5">
    <webPr sourceData="1" xl2000="1" url="http://justdata.yuanta.com.tw/z/zc/zcl/zcl.djhtm?a=5508&amp;b=2" htmlTables="1"/>
  </connection>
  <connection id="120" name="連線1709" type="4" refreshedVersion="5">
    <webPr sourceData="1" xl2000="1" url="http://justdata.yuanta.com.tw/z/zc/zcl/zcl.djhtm?a=5514&amp;b=2" htmlTables="1"/>
  </connection>
  <connection id="121" name="連線1710" type="4" refreshedVersion="5">
    <webPr sourceData="1" xl2000="1" url="http://justdata.yuanta.com.tw/z/zc/zcl/zcl.djhtm?a=8935&amp;b=2" htmlTables="1"/>
  </connection>
  <connection id="122" name="連線1711" type="4" refreshedVersion="5">
    <webPr sourceData="1" xl2000="1" url="http://justdata.yuanta.com.tw/z/zc/zcl/zcl.djhtm?a=2497&amp;b=2" htmlTables="1"/>
  </connection>
  <connection id="123" name="連線1712" type="4" refreshedVersion="5">
    <webPr sourceData="1" xl2000="1" url="http://justdata.yuanta.com.tw/z/zc/zcl/zcl.djhtm?a=4190&amp;b=2" htmlTables="1"/>
  </connection>
  <connection id="124" name="連線1713" type="4" refreshedVersion="5">
    <webPr sourceData="1" xl2000="1" url="http://justdata.yuanta.com.tw/z/zc/zcl/zcl.djhtm?a=3219&amp;b=2" htmlTables="1"/>
  </connection>
  <connection id="125" name="連線1714" type="4" refreshedVersion="5">
    <webPr sourceData="1" xl2000="1" url="http://justdata.yuanta.com.tw/z/zc/zcl/zcl.djhtm?a=8050&amp;b=2" htmlTables="1"/>
  </connection>
  <connection id="126" name="連線1715" type="4" refreshedVersion="5">
    <webPr sourceData="1" xl2000="1" url="http://justdata.yuanta.com.tw/z/zc/zcl/zcl.djhtm?a=3259&amp;b=2" htmlTables="1"/>
  </connection>
  <connection id="127" name="連線1716" type="4" refreshedVersion="5">
    <webPr sourceData="1" xl2000="1" url="http://justdata.yuanta.com.tw/z/zc/zcl/zcl.djhtm?a=3265&amp;b=2" htmlTables="1"/>
  </connection>
  <connection id="128" name="連線1717" type="4" refreshedVersion="5">
    <webPr sourceData="1" xl2000="1" url="http://justdata.yuanta.com.tw/z/zc/zcl/zcl.djhtm?a=3323&amp;b=2" htmlTables="1"/>
  </connection>
  <connection id="129" name="連線1718" type="4" refreshedVersion="5">
    <webPr sourceData="1" xl2000="1" url="http://justdata.yuanta.com.tw/z/zc/zcl/zcl.djhtm?a=3374&amp;b=2" htmlTables="1"/>
  </connection>
  <connection id="130" name="連線1719" type="4" refreshedVersion="5">
    <webPr sourceData="1" xl2000="1" url="http://justdata.yuanta.com.tw/z/zc/zcl/zcl.djhtm?a=3556&amp;b=2" htmlTables="1"/>
  </connection>
  <connection id="131" name="連線1720" type="4" refreshedVersion="5" background="1" saveData="1">
    <webPr sourceData="1" parsePre="1" consecutive="1" xl2000="1" url="http://mops.twse.com.tw/nas/t21/sii/t21sc03_104_10_0.html" htmlTables="1"/>
  </connection>
  <connection id="132" name="連線1721" type="4" refreshedVersion="5" background="1" saveData="1">
    <webPr sourceData="1" parsePre="1" consecutive="1" xl2000="1" url="http://mops.twse.com.tw/nas/t21/otc/t21sc03_104_10_0.html" htmlTables="1"/>
  </connection>
  <connection id="133" name="連線1723" type="4" refreshedVersion="0" background="1">
    <webPr url="http://justdata.yuanta.com.tw/z/zc/zcq/zcq_8039.asp.htm" htmlTables="1" htmlFormat="all"/>
  </connection>
  <connection id="134" name="連線1724" type="4" refreshedVersion="0" background="1">
    <webPr url="http://justdata.yuanta.com.tw/z/zc/zcq/zcq_2231.asp.htm" htmlTables="1" htmlFormat="all"/>
  </connection>
  <connection id="135" name="連線1728" type="4" refreshedVersion="5" background="1" saveData="1">
    <webPr sourceData="1" parsePre="1" consecutive="1" xl2000="1" url="http://mops.twse.com.tw/nas/t21/sii/t21sc03_104_10_0.html" htmlTables="1"/>
  </connection>
  <connection id="136" name="連線1729" type="4" refreshedVersion="5" background="1" saveData="1">
    <webPr sourceData="1" parsePre="1" consecutive="1" xl2000="1" url="http://mops.twse.com.tw/nas/t21/otc/t21sc03_104_10_0.html" htmlTables="1"/>
  </connection>
  <connection id="137" name="連線1730" type="4" refreshedVersion="5" background="1" saveData="1">
    <webPr sourceData="1" parsePre="1" consecutive="1" xl2000="1" url="http://mops.twse.com.tw/nas/t21/sii/t21sc03_104_10_0.html" htmlTables="1"/>
  </connection>
  <connection id="138" name="連線1731" type="4" refreshedVersion="5" background="1" saveData="1">
    <webPr sourceData="1" parsePre="1" consecutive="1" xl2000="1" url="http://mops.twse.com.tw/nas/t21/otc/t21sc03_104_10_0.html" htmlTables="1"/>
  </connection>
  <connection id="139" name="連線1732" type="4" refreshedVersion="5" background="1" saveData="1">
    <webPr sourceData="1" parsePre="1" consecutive="1" xl2000="1" url="http://mops.twse.com.tw/nas/t21/sii/t21sc03_104_10_0.html" htmlTables="1"/>
  </connection>
  <connection id="140" name="連線1733" type="4" refreshedVersion="5" background="1" saveData="1">
    <webPr sourceData="1" parsePre="1" consecutive="1" xl2000="1" url="http://mops.twse.com.tw/nas/t21/otc/t21sc03_104_10_0.html" htmlTables="1"/>
  </connection>
  <connection id="141" name="連線1734" type="4" refreshedVersion="0" background="1">
    <webPr url="http://justdata.yuanta.com.tw/z/zc/zcp/zcpa/zcpa_6213.asp.htm" htmlTables="1" htmlFormat="all"/>
  </connection>
  <connection id="142" name="連線1735" type="4" refreshedVersion="5">
    <webPr sourceData="1" xl2000="1" url="http://justdata.yuanta.com.tw/z/zc/zcl/zcl.djhtm?a=3685&amp;b=2" htmlTables="1"/>
  </connection>
  <connection id="143" name="連線1749" type="4" refreshedVersion="0" background="1">
    <webPr url="http://justdata.yuanta.com.tw/z/zc/zcq/zcq_2489.asp.htm" htmlTables="1" htmlFormat="all"/>
  </connection>
  <connection id="144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45" name="連線1760" type="4" refreshedVersion="5">
    <webPr sourceData="1" xl2000="1" url="http://justdata.yuanta.com.tw/z/zc/zcl/zcl.djhtm?a=5272&amp;b=2" htmlTables="1"/>
  </connection>
  <connection id="146" name="連線1761" type="4" refreshedVersion="5">
    <webPr sourceData="1" xl2000="1" url="http://justdata.yuanta.com.tw/z/zc/zcl/zcl.djhtm?a=5490&amp;b=2" htmlTables="1"/>
  </connection>
  <connection id="147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48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49" name="連線1799" type="4" refreshedVersion="0" background="1">
    <webPr url="http://justdata.yuanta.com.tw/z/zc/zcq/zcq_1452.asp.htm" htmlTables="1" htmlFormat="all"/>
  </connection>
  <connection id="150" name="連線18" type="4" refreshedVersion="5">
    <webPr sourceData="1" xl2000="1" url="http://justdata.yuanta.com.tw/z/zc/zcl/zcl.djhtm?a=8039&amp;b=2" htmlTables="1"/>
  </connection>
  <connection id="151" name="連線184" type="4" refreshedVersion="0" background="1">
    <webPr url="http://www.cnyes.com/twstock/Technical/8928.htm" htmlTables="1" htmlFormat="all"/>
  </connection>
  <connection id="152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3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4" name="連線196" type="4" refreshedVersion="0" background="1">
    <webPr url="http://www.emega.com.tw/z/zc/zch/zch_6171.djhtm" htmlTables="1" htmlFormat="all"/>
  </connection>
  <connection id="155" name="連線1966" type="4" refreshedVersion="0" background="1">
    <webPr url="http://www.emega.com.tw/z/zc/zch/zch_1521.djhtm" htmlTables="1" htmlFormat="all"/>
  </connection>
  <connection id="156" name="連線2" type="4" refreshedVersion="5">
    <webPr sourceData="1" xl2000="1" url="http://justdata.yuanta.com.tw/z/zc/zcl/zcl.djhtm?a=3264&amp;b=2" htmlTables="1"/>
  </connection>
  <connection id="157" name="連線20" type="4" refreshedVersion="0" background="1">
    <webPr url="http://www.emega.com.tw/z/zc/zch/zch_1409.djhtm" htmlTables="1" htmlFormat="all"/>
  </connection>
  <connection id="158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59" name="連線21" type="4" refreshedVersion="5">
    <webPr sourceData="1" xl2000="1" url="http://justdata.yuanta.com.tw/z/zc/zcl/zcl.djhtm?a=5328&amp;b=2" htmlTables="1"/>
  </connection>
  <connection id="160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61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62" name="連線22" type="4" refreshedVersion="5">
    <webPr sourceData="1" xl2000="1" url="http://justdata.yuanta.com.tw/z/zc/zcl/zcl.djhtm?a=3630&amp;b=2" htmlTables="1"/>
  </connection>
  <connection id="163" name="連線23" type="4" refreshedVersion="0" background="1">
    <webPr url="http://www.emega.com.tw/z/zc/zch/zch_1104.djhtm" htmlTables="1" htmlFormat="all"/>
  </connection>
  <connection id="164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65" name="連線24" type="4" refreshedVersion="5">
    <webPr sourceData="1" xl2000="1" url="http://justdata.yuanta.com.tw/z/zc/zcl/zcl.djhtm?a=3088&amp;b=2" htmlTables="1"/>
  </connection>
  <connection id="166" name="連線25" type="4" refreshedVersion="5">
    <webPr sourceData="1" xl2000="1" url="http://justdata.yuanta.com.tw/z/zc/zcl/zcl.djhtm?a=5288&amp;b=2" htmlTables="1"/>
  </connection>
  <connection id="167" name="連線258" type="4" refreshedVersion="0" background="1">
    <webPr url="http://www.cnyes.com/twstock/Technical/3675.htm" htmlTables="1" htmlFormat="all"/>
  </connection>
  <connection id="168" name="連線26" type="4" refreshedVersion="5">
    <webPr sourceData="1" xl2000="1" url="http://justdata.yuanta.com.tw/z/zc/zcl/zcl.djhtm?a=1730&amp;b=2" htmlTables="1"/>
  </connection>
  <connection id="169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70" name="連線27" type="4" refreshedVersion="5">
    <webPr sourceData="1" xl2000="1" url="http://justdata.yuanta.com.tw/z/zc/zcl/zcl.djhtm?a=3558&amp;b=2" htmlTables="1"/>
  </connection>
  <connection id="171" name="連線272" type="4" refreshedVersion="0" background="1">
    <webPr url="http://www.emega.com.tw/z/zc/zch/zch_2102.djhtm" htmlTables="1" htmlFormat="all"/>
  </connection>
  <connection id="172" name="連線274" type="4" refreshedVersion="0" background="1">
    <webPr url="https://tw.stock.yahoo.com/d/s/earning_2733.html" htmlTables="1" htmlFormat="all"/>
  </connection>
  <connection id="173" name="連線2749" type="4" refreshedVersion="0" background="1">
    <webPr url="http://justdata.yuanta.com.tw/z/zc/zcp/zcpa/zcpa_8068.asp.htm" htmlTables="1" htmlFormat="all"/>
  </connection>
  <connection id="174" name="連線28" type="4" refreshedVersion="5">
    <webPr sourceData="1" xl2000="1" url="http://justdata.yuanta.com.tw/z/zc/zcl/zcl.djhtm?a=5274&amp;b=2" htmlTables="1"/>
  </connection>
  <connection id="175" name="連線285" type="4" refreshedVersion="0" background="1">
    <webPr url="http://www.emega.com.tw/z/zc/zch/zch_1220.djhtm" htmlTables="1" htmlFormat="all"/>
  </connection>
  <connection id="176" name="連線29" type="4" refreshedVersion="5">
    <webPr sourceData="1" xl2000="1" url="http://justdata.yuanta.com.tw/z/zc/zcl/zcl.djhtm?a=2308&amp;b=2" htmlTables="1"/>
  </connection>
  <connection id="177" name="連線3" type="4" refreshedVersion="5">
    <webPr sourceData="1" xl2000="1" url="http://justdata.yuanta.com.tw/z/zc/zcl/zcl.djhtm?a=1724&amp;b=2" htmlTables="1"/>
  </connection>
  <connection id="178" name="連線30" type="4" refreshedVersion="5">
    <webPr sourceData="1" xl2000="1" url="http://justdata.yuanta.com.tw/z/zc/zcl/zcl.djhtm?a=2015&amp;b=2" htmlTables="1"/>
  </connection>
  <connection id="179" name="連線31" type="4" refreshedVersion="5">
    <webPr sourceData="1" xl2000="1" url="http://justdata.yuanta.com.tw/z/zc/zcl/zcl.djhtm?a=2637&amp;b=2" htmlTables="1"/>
  </connection>
  <connection id="180" name="連線32" type="4" refreshedVersion="5">
    <webPr sourceData="1" xl2000="1" url="http://justdata.yuanta.com.tw/z/zc/zcl/zcl.djhtm?a=8105&amp;b=2" htmlTables="1"/>
  </connection>
  <connection id="181" name="連線329" type="4" refreshedVersion="0" background="1">
    <webPr url="http://justdata.yuanta.com.tw/z/zc/zcq/zcq_1464.asp.htm" htmlTables="1" htmlFormat="all"/>
  </connection>
  <connection id="182" name="連線33" type="4" refreshedVersion="0" background="1">
    <webPr url="http://www.cnyes.com/twstock/Technical/3005.htm" htmlTables="1" htmlFormat="all"/>
  </connection>
  <connection id="183" name="連線338" type="4" refreshedVersion="0" background="1">
    <webPr url="http://www.emega.com.tw/z/zc/zch/zch_1517.djhtm" htmlTables="1" htmlFormat="all"/>
  </connection>
  <connection id="184" name="連線34" type="4" refreshedVersion="5" background="1" saveData="1">
    <webPr sourceData="1" parsePre="1" consecutive="1" xl2000="1" url="http://justdata.yuanta.com.tw/z/zc/zcq/zcq_2454.asp.htm" htmlTables="1"/>
  </connection>
  <connection id="185" name="連線35" type="4" refreshedVersion="5" background="1" saveData="1">
    <webPr sourceData="1" parsePre="1" consecutive="1" xl2000="1" url="http://justdata.yuanta.com.tw/z/zc/zcp/zcpa/zcpa_2454.asp.htm" htmlTables="1"/>
  </connection>
  <connection id="186" name="連線355" type="4" refreshedVersion="0" background="1">
    <webPr url="http://justdata.yuanta.com.tw/z/zc/zcq/zcq_1201.asp.htm" htmlTables="1" htmlFormat="all"/>
  </connection>
  <connection id="187" name="連線36" type="4" refreshedVersion="0" background="1">
    <webPr url="http://www.emega.com.tw/z/zc/zch/zch_1452.djhtm" htmlTables="1" htmlFormat="all"/>
  </connection>
  <connection id="188" name="連線360" type="4" refreshedVersion="0" background="1">
    <webPr url="http://www.cnyes.com/twstock/Technical/2106.htm" htmlTables="1" htmlFormat="all"/>
  </connection>
  <connection id="189" name="連線364" type="4" refreshedVersion="0" background="1">
    <webPr url="https://tw.stock.yahoo.com/d/s/earning_3627.html" htmlTables="1" htmlFormat="all"/>
  </connection>
  <connection id="190" name="連線369" type="4" refreshedVersion="0" background="1">
    <webPr url="http://www.emega.com.tw/z/zc/zch/zch_1446.djhtm" htmlTables="1" htmlFormat="all"/>
  </connection>
  <connection id="191" name="連線37" type="4" refreshedVersion="0" background="1">
    <webPr url="http://www.emega.com.tw/z/zc/zch/zch_2637.djhtm" htmlTables="1" htmlFormat="all"/>
  </connection>
  <connection id="192" name="連線376" type="4" refreshedVersion="0" background="1">
    <webPr url="http://www.emega.com.tw/z/zc/zch/zch_2424.djhtm" htmlTables="1" htmlFormat="all"/>
  </connection>
  <connection id="193" name="連線38" type="4" refreshedVersion="5" background="1" saveData="1">
    <webPr sourceData="1" parsePre="1" consecutive="1" xl2000="1" url="http://justdata.yuanta.com.tw/z/zc/zc3/zc3_2454.asp.htm" htmlTables="1"/>
  </connection>
  <connection id="194" name="連線39" type="4" refreshedVersion="5" background="1" saveData="1">
    <webPr sourceData="1" parsePre="1" consecutive="1" xl2000="1" url="http://justdata.yuanta.com.tw/z/zc/zcq/zcq_3034.asp.htm" htmlTables="1"/>
  </connection>
  <connection id="195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196" name="連線40" type="4" refreshedVersion="5">
    <webPr sourceData="1" xl2000="1" url="http://justdata.yuanta.com.tw/z/zc/zcl/zcl.djhtm?a=3015&amp;b=2" htmlTables="1"/>
  </connection>
  <connection id="197" name="連線409" type="4" refreshedVersion="0" background="1">
    <webPr url="http://tw.stock.yahoo.com/q/q?s=8421" htmlTables="1" htmlFormat="all"/>
  </connection>
  <connection id="198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199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00" name="連線52" type="4" refreshedVersion="0" background="1">
    <webPr url="http://www.emega.com.tw/z/zc/zch/zch_1471.djhtm" htmlTables="1" htmlFormat="all"/>
  </connection>
  <connection id="20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02" name="連線586" type="4" refreshedVersion="0" background="1">
    <webPr url="http://www.emega.com.tw/z/zc/zch/zch_2115.djhtm" htmlTables="1" htmlFormat="all"/>
  </connection>
  <connection id="203" name="連線59" type="4" refreshedVersion="0" background="1">
    <webPr url="http://justdata.yuanta.com.tw/z/zc/zcl/zcl.djhtm?a=2441&amp;b=2" htmlTables="1" htmlFormat="all"/>
  </connection>
  <connection id="204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05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06" name="連線64" type="4" refreshedVersion="0" background="1">
    <webPr url="http://justdata.yuanta.com.tw/z/zc/zcq/zcq_1717.asp.htm" htmlTables="1" htmlFormat="all"/>
  </connection>
  <connection id="207" name="連線645" type="4" refreshedVersion="0" background="1">
    <webPr url="http://www.emega.com.tw/z/zc/zch/zch_2349.djhtm" htmlTables="1" htmlFormat="all"/>
  </connection>
  <connection id="208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09" name="連線69" type="4" refreshedVersion="0" background="1">
    <webPr url="http://www.cnyes.com/twstock/Technical/1537_1.65%.htm" htmlTables="1" htmlFormat="all"/>
  </connection>
  <connection id="210" name="連線70" type="4" refreshedVersion="0" background="1">
    <webPr url="http://www.cnyes.com/twstock/Technical/1537_1.65%.htm" htmlTables="1" htmlFormat="all"/>
  </connection>
  <connection id="211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12" name="連線77" type="4" refreshedVersion="0" background="1">
    <webPr url="http://www.emega.com.tw/z/zc/zch/zch_6286.djhtm" htmlTables="1" htmlFormat="all"/>
  </connection>
  <connection id="213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14" name="連線78" type="4" refreshedVersion="0" background="1">
    <webPr url="http://www.emega.com.tw/z/zc/zch/zch_1303.djhtm" htmlTables="1" htmlFormat="all"/>
  </connection>
  <connection id="215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16" name="連線799" type="4" refreshedVersion="0" background="1">
    <webPr url="http://www.emega.com.tw/z/zc/zch/zch_6171.djhtm" htmlTables="1" htmlFormat="all"/>
  </connection>
  <connection id="217" name="連線83" type="4" refreshedVersion="0" background="1">
    <webPr url="http://justdata.yuanta.com.tw/z/zc/zcl/zcl.djhtm?a=2455&amp;b=2" htmlTables="1" htmlFormat="all"/>
  </connection>
  <connection id="218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19" name="連線9" type="4" refreshedVersion="5">
    <webPr sourceData="1" xl2000="1" url="http://justdata.yuanta.com.tw/z/zc/zcl/zcl.djhtm?a=6147&amp;b=2" htmlTables="1"/>
  </connection>
  <connection id="220" name="連線93" type="4" refreshedVersion="0" background="1">
    <webPr url="http://www.emega.com.tw/z/zc/zch/zch_1232.djhtm" htmlTables="1" htmlFormat="all"/>
  </connection>
  <connection id="221" name="連線930" type="4" refreshedVersion="0" background="1">
    <webPr url="http://www.emega.com.tw/z/zc/zch/zch_3706.djhtm" htmlTables="1" htmlFormat="all"/>
  </connection>
  <connection id="222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23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24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<sst xmlns="http://schemas.openxmlformats.org/spreadsheetml/2006/main" count="5117" uniqueCount="2365">
  <si>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</si>
  <si>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</si>
  <si>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</si>
  <si>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</si>
  <si>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</si>
  <si>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</si>
  <si>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</si>
  <si>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</si>
  <si>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</si>
  <si>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</si>
  <si>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</si>
  <si>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</si>
  <si>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</si>
  <si>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</si>
  <si>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</si>
  <si>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</si>
  <si>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</si>
  <si>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</si>
  <si>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</si>
  <si>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</si>
  <si>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</si>
  <si>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</si>
  <si>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</si>
  <si>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</si>
  <si>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</si>
  <si>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</si>
  <si>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>營益率</t>
    <phoneticPr fontId="2" type="noConversion"/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</si>
  <si>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</si>
  <si>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</si>
  <si>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</si>
  <si>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</si>
  <si>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</si>
  <si>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</si>
  <si>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</si>
  <si>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</si>
  <si>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</si>
  <si>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</si>
  <si>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</si>
  <si>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</si>
  <si>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</si>
  <si>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</si>
  <si>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</si>
  <si>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</si>
  <si>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</si>
  <si>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</si>
  <si>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</si>
  <si>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</si>
  <si>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</si>
  <si>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</si>
  <si>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蘭弦  2015/Q1  選股追蹤</t>
    <phoneticPr fontId="2" type="noConversion"/>
  </si>
  <si>
    <t>期別</t>
  </si>
  <si>
    <t>104.1Q</t>
  </si>
  <si>
    <t>103.4Q</t>
  </si>
  <si>
    <t>103.3Q</t>
  </si>
  <si>
    <t>103.2Q</t>
  </si>
  <si>
    <t>103.1Q</t>
  </si>
  <si>
    <t>102.4Q</t>
  </si>
  <si>
    <t>102.3Q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</si>
  <si>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</si>
  <si>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</si>
  <si>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</si>
  <si>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</si>
  <si>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</si>
  <si>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</si>
  <si>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</si>
  <si>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</si>
  <si>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</si>
  <si>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</si>
  <si>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</si>
  <si>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</si>
  <si>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</si>
  <si>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</si>
  <si>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</si>
  <si>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</si>
  <si>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</si>
  <si>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</si>
  <si>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</si>
  <si>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</si>
  <si>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</si>
  <si>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</si>
  <si>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</si>
  <si>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</si>
  <si>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</si>
  <si>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</si>
  <si>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</si>
  <si>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</si>
  <si>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</si>
  <si>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</si>
  <si>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</si>
  <si>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</si>
  <si>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</si>
  <si>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</si>
  <si>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</si>
  <si>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</si>
  <si>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</si>
  <si>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</si>
  <si>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</si>
  <si>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</si>
  <si>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</si>
  <si>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</si>
  <si>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</si>
  <si>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</si>
  <si>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</si>
  <si>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</si>
  <si>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</si>
  <si>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</si>
  <si>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</si>
  <si>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</si>
  <si>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</si>
  <si>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</si>
  <si>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</si>
  <si>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</si>
  <si>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</si>
  <si>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</si>
  <si>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</si>
  <si>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</si>
  <si>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</si>
  <si>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</si>
  <si>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</si>
  <si>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</si>
  <si>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</si>
  <si>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</si>
  <si>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</si>
  <si>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</si>
  <si>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</si>
  <si>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</si>
  <si>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</si>
  <si>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</si>
  <si>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</si>
  <si>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</si>
  <si>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</si>
  <si>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</si>
  <si>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</si>
  <si>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</si>
  <si>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</si>
  <si>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</si>
  <si>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</si>
  <si>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</si>
  <si>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</si>
  <si>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</si>
  <si>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</si>
  <si>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</si>
  <si>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</si>
  <si>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</si>
  <si>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</si>
  <si>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</si>
  <si>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</si>
  <si>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</si>
  <si>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</si>
  <si>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</si>
  <si>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</si>
  <si>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</si>
  <si>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</si>
  <si>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</si>
  <si>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</si>
  <si>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</si>
  <si>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</si>
  <si>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</si>
  <si>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</si>
  <si>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</si>
  <si>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</si>
  <si>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</si>
  <si>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</si>
  <si>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</si>
  <si>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</si>
  <si>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</si>
  <si>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</si>
  <si>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</si>
  <si>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</si>
  <si>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</si>
  <si>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</si>
  <si>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</si>
  <si>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</si>
  <si>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</si>
  <si>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</si>
  <si>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</si>
  <si>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</si>
  <si>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</si>
  <si>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</si>
  <si>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</si>
  <si>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</si>
  <si>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</si>
  <si>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</si>
  <si>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</si>
  <si>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</si>
  <si>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</si>
  <si>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</si>
  <si>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</si>
  <si>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</si>
  <si>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</si>
  <si>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</si>
  <si>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</si>
  <si>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</si>
  <si>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</si>
  <si>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</si>
  <si>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</si>
  <si>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</si>
  <si>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</si>
  <si>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</si>
  <si>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</si>
  <si>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</si>
  <si>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</si>
  <si>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</si>
  <si>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</si>
  <si>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</si>
  <si>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</si>
  <si>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</si>
  <si>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</si>
  <si>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</si>
  <si>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</si>
  <si>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</si>
  <si>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</si>
  <si>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</si>
  <si>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</si>
  <si>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</si>
  <si>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</si>
  <si>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</si>
  <si>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</si>
  <si>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</si>
  <si>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</si>
  <si>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</si>
  <si>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</si>
  <si>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</si>
  <si>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</si>
  <si>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</si>
  <si>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</si>
  <si>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</si>
  <si>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</si>
  <si>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</si>
  <si>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</si>
  <si>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</si>
  <si>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</si>
  <si>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</si>
  <si>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</si>
  <si>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</si>
  <si>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</si>
  <si>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</si>
  <si>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</si>
  <si>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</si>
  <si>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</si>
  <si>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</si>
  <si>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</si>
  <si>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</si>
  <si>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</si>
  <si>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</si>
  <si>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</si>
  <si>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</si>
  <si>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</si>
  <si>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</si>
  <si>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</si>
  <si>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</si>
  <si>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</si>
  <si>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</si>
  <si>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</si>
  <si>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</si>
  <si>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</si>
  <si>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</si>
  <si>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</si>
  <si>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</si>
  <si>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</si>
  <si>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</si>
  <si>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</si>
  <si>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</si>
  <si>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</si>
  <si>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</si>
  <si>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</si>
  <si>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</si>
  <si>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</si>
  <si>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</si>
  <si>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</si>
  <si>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</si>
  <si>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</si>
  <si>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</si>
  <si>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</si>
  <si>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</si>
  <si>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</si>
  <si>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</si>
  <si>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</si>
  <si>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</si>
  <si>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</si>
  <si>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</si>
  <si>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</si>
  <si>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</si>
  <si>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</si>
  <si>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</si>
  <si>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</si>
  <si>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</si>
  <si>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</si>
  <si>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</si>
  <si>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</si>
  <si>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</si>
  <si>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</si>
  <si>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</si>
  <si>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</si>
  <si>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</si>
  <si>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</si>
  <si>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</si>
  <si>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</si>
  <si>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</si>
  <si>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</si>
  <si>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</si>
  <si>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</si>
  <si>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</si>
  <si>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</si>
  <si>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</si>
  <si>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</si>
  <si>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</si>
  <si>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</si>
  <si>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</si>
  <si>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</si>
  <si>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</si>
  <si>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</si>
  <si>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</si>
  <si>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</si>
  <si>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</si>
  <si>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</si>
  <si>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</si>
  <si>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</si>
  <si>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</si>
  <si>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</si>
  <si>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</si>
  <si>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</si>
  <si>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</si>
  <si>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</si>
  <si>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</si>
  <si>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</si>
  <si>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</si>
  <si>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</si>
  <si>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</si>
  <si>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</si>
  <si>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</si>
  <si>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</si>
  <si>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</si>
  <si>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</si>
  <si>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</si>
  <si>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</si>
  <si>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</si>
  <si>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</si>
  <si>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</si>
  <si>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</si>
  <si>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</si>
  <si>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</si>
  <si>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</si>
  <si>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</si>
  <si>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</si>
  <si>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</si>
  <si>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</si>
  <si>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</si>
  <si>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</si>
  <si>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</si>
  <si>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</si>
  <si>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</si>
  <si>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</si>
  <si>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</si>
  <si>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</si>
  <si>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</si>
  <si>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</si>
  <si>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</si>
  <si>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</si>
  <si>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</si>
  <si>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</si>
  <si>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</si>
  <si>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</si>
  <si>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</si>
  <si>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</si>
  <si>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</si>
  <si>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</si>
  <si>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</si>
  <si>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</si>
  <si>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</si>
  <si>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</si>
  <si>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</si>
  <si>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</si>
  <si>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</si>
  <si>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</si>
  <si>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</si>
  <si>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</si>
  <si>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</si>
  <si>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</si>
  <si>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</si>
  <si>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</si>
  <si>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</si>
  <si>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</si>
  <si>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</si>
  <si>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</si>
  <si>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</si>
  <si>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</si>
  <si>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</si>
  <si>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</si>
  <si>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</si>
  <si>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</si>
  <si>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</si>
  <si>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</si>
  <si>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</si>
  <si>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</si>
  <si>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</si>
  <si>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</si>
  <si>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</si>
  <si>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</si>
  <si>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</si>
  <si>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</si>
  <si>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</si>
  <si>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</si>
  <si>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</si>
  <si>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</si>
  <si>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</si>
  <si>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</si>
  <si>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</si>
  <si>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</si>
  <si>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</si>
  <si>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</si>
  <si>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</si>
  <si>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</si>
  <si>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</si>
  <si>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</si>
  <si>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</si>
  <si>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</si>
  <si>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</si>
  <si>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</si>
  <si>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</si>
  <si>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</si>
  <si>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</si>
  <si>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</si>
  <si>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</si>
  <si>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</si>
  <si>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</si>
  <si>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</si>
  <si>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</si>
  <si>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</si>
  <si>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</si>
  <si>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</si>
  <si>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</si>
  <si>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</si>
  <si>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</si>
  <si>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</si>
  <si>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</si>
  <si>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</si>
  <si>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</si>
  <si>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</si>
  <si>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</si>
  <si>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</si>
  <si>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</si>
  <si>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</si>
  <si>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</si>
  <si>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</si>
  <si>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長鴻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</si>
  <si>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</si>
  <si>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</si>
  <si>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</si>
  <si>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</si>
  <si>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</si>
  <si>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</si>
  <si>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</si>
  <si>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</si>
  <si>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</si>
  <si>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</si>
  <si>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</si>
  <si>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</si>
  <si>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</si>
  <si>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</si>
  <si>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</si>
  <si>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</si>
  <si>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</si>
  <si>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</si>
  <si>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</si>
  <si>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</si>
  <si>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</si>
  <si>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</si>
  <si>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</si>
  <si>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</si>
  <si>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</si>
  <si>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</si>
  <si>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</si>
  <si>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</si>
  <si>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</si>
  <si>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</si>
  <si>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</si>
  <si>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</si>
  <si>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</si>
  <si>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</si>
  <si>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</si>
  <si>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</si>
  <si>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</si>
  <si>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</si>
  <si>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</si>
  <si>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</si>
  <si>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</si>
  <si>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</si>
  <si>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</si>
  <si>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</si>
  <si>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</si>
  <si>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</si>
  <si>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</si>
  <si>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</si>
  <si>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</si>
  <si>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</si>
  <si>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</si>
  <si>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</si>
  <si>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</si>
  <si>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</si>
  <si>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</si>
  <si>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</si>
  <si>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</si>
  <si>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</si>
  <si>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</si>
  <si>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</si>
  <si>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</si>
  <si>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</si>
  <si>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</si>
  <si>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</si>
  <si>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</si>
  <si>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</si>
  <si>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</si>
  <si>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</si>
  <si>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</si>
  <si>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</si>
  <si>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</si>
  <si>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</si>
  <si>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</si>
  <si>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</si>
  <si>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</si>
  <si>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</si>
  <si>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</si>
  <si>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</si>
  <si>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</si>
  <si>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</si>
  <si>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</si>
  <si>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</si>
  <si>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</si>
  <si>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</si>
  <si>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</si>
  <si>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</si>
  <si>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</si>
  <si>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</si>
  <si>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</si>
  <si>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</si>
  <si>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</si>
  <si>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</si>
  <si>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</si>
  <si>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</si>
  <si>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</si>
  <si>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</si>
  <si>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</si>
  <si>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</si>
  <si>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</si>
  <si>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</si>
  <si>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>自選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</si>
  <si>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</si>
  <si>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</si>
  <si>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</si>
  <si>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</si>
  <si>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</si>
  <si>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</si>
  <si>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</si>
  <si>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</si>
  <si>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</si>
  <si>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</si>
  <si>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</si>
  <si>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</si>
  <si>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</si>
  <si>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</si>
  <si>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</si>
  <si>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</si>
  <si>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</si>
  <si>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</si>
  <si>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</si>
  <si>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</si>
  <si>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</si>
  <si>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</si>
  <si>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</si>
  <si>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</si>
  <si>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</si>
  <si>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</si>
  <si>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</si>
  <si>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</si>
  <si>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</si>
  <si>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</si>
  <si>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</si>
  <si>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</si>
  <si>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</si>
  <si>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</si>
  <si>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</si>
  <si>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</si>
  <si>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</si>
  <si>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</si>
  <si>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</si>
  <si>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</si>
  <si>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</si>
  <si>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</si>
  <si>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</si>
  <si>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</si>
  <si>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</si>
  <si>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</si>
  <si>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</si>
  <si>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</si>
  <si>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</si>
  <si>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</si>
  <si>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</si>
  <si>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</si>
  <si>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</si>
  <si>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</si>
  <si>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</si>
  <si>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</si>
  <si>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</si>
  <si>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</si>
  <si>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</si>
  <si>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</si>
  <si>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</si>
  <si>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</si>
  <si>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</si>
  <si>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</si>
  <si>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</si>
  <si>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</si>
  <si>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</si>
  <si>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</si>
  <si>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</si>
  <si>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</si>
  <si>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</si>
  <si>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</si>
  <si>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</si>
  <si>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</si>
  <si>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</si>
  <si>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</si>
  <si>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</si>
  <si>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</si>
  <si>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</si>
  <si>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</si>
  <si>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</si>
  <si>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</si>
  <si>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</si>
  <si>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</si>
  <si>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</si>
  <si>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</si>
  <si>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</si>
  <si>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</si>
  <si>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</si>
  <si>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</si>
  <si>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</si>
  <si>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</si>
  <si>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</si>
  <si>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</si>
  <si>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</si>
  <si>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</si>
  <si>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</si>
  <si>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</si>
  <si>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</si>
  <si>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</si>
  <si>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</si>
  <si>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</si>
  <si>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</si>
  <si>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</si>
  <si>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</si>
  <si>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</si>
  <si>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</si>
  <si>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</si>
  <si>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</si>
  <si>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</si>
  <si>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</si>
  <si>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</si>
  <si>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</si>
  <si>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</si>
  <si>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</si>
  <si>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</si>
  <si>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</si>
  <si>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</si>
  <si>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</si>
  <si>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</si>
  <si>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</si>
  <si>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</si>
  <si>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</si>
  <si>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</si>
  <si>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</si>
  <si>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</si>
  <si>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</si>
  <si>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</si>
  <si>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</si>
  <si>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</si>
  <si>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</si>
  <si>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</si>
  <si>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</si>
  <si>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</si>
  <si>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</si>
  <si>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</si>
  <si>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</si>
  <si>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</si>
  <si>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</si>
  <si>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</si>
  <si>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</si>
  <si>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</si>
  <si>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</si>
  <si>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</si>
  <si>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</si>
  <si>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</si>
  <si>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</si>
  <si>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</si>
  <si>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</si>
  <si>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</si>
  <si>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</si>
  <si>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</si>
  <si>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</si>
  <si>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</si>
  <si>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</si>
  <si>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</si>
  <si>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</si>
  <si>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</si>
  <si>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</si>
  <si>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</si>
  <si>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</si>
  <si>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</si>
  <si>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</si>
  <si>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</si>
  <si>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</si>
  <si>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</si>
  <si>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</si>
  <si>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</si>
  <si>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</si>
  <si>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</si>
  <si>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</si>
  <si>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</si>
  <si>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</si>
  <si>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</si>
  <si>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</si>
  <si>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</si>
  <si>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</si>
  <si>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</si>
  <si>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</si>
  <si>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</si>
  <si>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</si>
  <si>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</si>
  <si>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</si>
  <si>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</si>
  <si>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</si>
  <si>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</si>
  <si>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</si>
  <si>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</si>
  <si>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</si>
  <si>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</si>
  <si>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</si>
  <si>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</si>
  <si>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</si>
  <si>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</si>
  <si>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</si>
  <si>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</si>
  <si>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</si>
  <si>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</si>
  <si>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</si>
  <si>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</si>
  <si>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</si>
  <si>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</si>
  <si>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</si>
  <si>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</si>
  <si>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</si>
  <si>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</si>
  <si>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</si>
  <si>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</si>
  <si>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</si>
  <si>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</si>
  <si>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</si>
  <si>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</si>
  <si>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</si>
  <si>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</si>
  <si>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</si>
  <si>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</si>
  <si>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</si>
  <si>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</si>
  <si>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</si>
  <si>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</si>
  <si>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</si>
  <si>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</si>
  <si>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</si>
  <si>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</si>
  <si>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</si>
  <si>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</si>
  <si>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</si>
  <si>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</si>
  <si>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</si>
  <si>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</si>
  <si>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</si>
  <si>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</si>
  <si>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</si>
  <si>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</si>
  <si>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</si>
  <si>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</si>
  <si>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</si>
  <si>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</si>
  <si>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</si>
  <si>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</si>
  <si>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</si>
  <si>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</si>
  <si>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</si>
  <si>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</si>
  <si>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</si>
  <si>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</si>
  <si>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</si>
  <si>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</si>
  <si>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</si>
  <si>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</si>
  <si>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</si>
  <si>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</si>
  <si>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</si>
  <si>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</si>
  <si>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</si>
  <si>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</si>
  <si>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</si>
  <si>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</si>
  <si>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</si>
  <si>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</si>
  <si>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</si>
  <si>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</si>
  <si>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</si>
  <si>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</si>
  <si>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</si>
  <si>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</si>
  <si>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</si>
  <si>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</si>
  <si>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</si>
  <si>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</si>
  <si>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</si>
  <si>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</si>
  <si>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</si>
  <si>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</si>
  <si>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</si>
  <si>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</si>
  <si>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</si>
  <si>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</si>
  <si>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</si>
  <si>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</si>
  <si>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</si>
  <si>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</si>
  <si>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</si>
  <si>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</si>
  <si>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</si>
  <si>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</si>
  <si>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</si>
  <si>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</si>
  <si>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</si>
  <si>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</si>
  <si>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</si>
  <si>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</si>
  <si>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</si>
  <si>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</si>
  <si>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</si>
  <si>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</si>
  <si>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</si>
  <si>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</si>
  <si>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</si>
  <si>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</si>
  <si>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</si>
  <si>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</si>
  <si>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</si>
  <si>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</si>
  <si>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</si>
  <si>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</si>
  <si>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</si>
  <si>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</si>
  <si>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</si>
  <si>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</si>
  <si>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</si>
  <si>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</si>
  <si>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</si>
  <si>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</si>
  <si>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</si>
  <si>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</si>
  <si>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</si>
  <si>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</si>
  <si>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</si>
  <si>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</si>
  <si>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</si>
  <si>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</si>
  <si>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</si>
  <si>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</si>
  <si>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</si>
  <si>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</si>
  <si>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</si>
  <si>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</si>
  <si>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</si>
  <si>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</si>
  <si>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</si>
  <si>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</si>
  <si>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</si>
  <si>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</si>
  <si>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</si>
  <si>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</si>
  <si>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</si>
  <si>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</si>
  <si>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</si>
  <si>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</si>
  <si>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</si>
  <si>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</si>
  <si>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</si>
  <si>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</si>
  <si>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</si>
  <si>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</si>
  <si>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</si>
  <si>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</si>
  <si>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</si>
  <si>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</si>
  <si>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</si>
  <si>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</si>
  <si>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</si>
  <si>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</si>
  <si>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</si>
  <si>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</si>
  <si>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</si>
  <si>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</si>
  <si>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</si>
  <si>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</si>
  <si>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</si>
  <si>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</si>
  <si>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</si>
  <si>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</si>
  <si>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</si>
  <si>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</si>
  <si>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</si>
  <si>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</si>
  <si>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</si>
  <si>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</si>
  <si>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</si>
  <si>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</si>
  <si>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</si>
  <si>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</si>
  <si>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</si>
  <si>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</si>
  <si>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</si>
  <si>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</si>
  <si>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</si>
  <si>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</si>
  <si>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</si>
  <si>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</si>
  <si>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</si>
  <si>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</si>
  <si>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</si>
  <si>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</si>
  <si>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</si>
  <si>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</si>
  <si>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</si>
  <si>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</si>
  <si>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</si>
  <si>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</si>
  <si>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</si>
  <si>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</si>
  <si>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</si>
  <si>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</si>
  <si>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</si>
  <si>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</si>
  <si>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</si>
  <si>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</si>
  <si>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</si>
  <si>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</si>
  <si>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</si>
  <si>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</si>
  <si>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</si>
  <si>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</si>
  <si>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</si>
  <si>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</si>
  <si>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</si>
  <si>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</si>
  <si>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</si>
  <si>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</si>
  <si>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</si>
  <si>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</si>
  <si>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</si>
  <si>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</si>
  <si>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</si>
  <si>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</si>
  <si>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</si>
  <si>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</si>
  <si>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</si>
  <si>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</si>
  <si>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</si>
  <si>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</si>
  <si>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</si>
  <si>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</si>
  <si>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</si>
  <si>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</si>
  <si>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</si>
  <si>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</si>
  <si>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</si>
  <si>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</si>
  <si>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</si>
  <si>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</si>
  <si>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</si>
  <si>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</si>
  <si>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</si>
  <si>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</si>
  <si>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</si>
  <si>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</si>
  <si>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</si>
  <si>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</si>
  <si>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</si>
  <si>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</si>
  <si>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</si>
  <si>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</si>
  <si>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</si>
  <si>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</si>
  <si>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</si>
  <si>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</si>
  <si>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</si>
  <si>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</si>
  <si>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</si>
  <si>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</si>
  <si>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</si>
  <si>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</si>
  <si>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</si>
  <si>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</si>
  <si>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</si>
  <si>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</si>
  <si>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</si>
  <si>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</si>
  <si>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</si>
  <si>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</si>
  <si>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</si>
  <si>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</si>
  <si>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</si>
  <si>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</si>
  <si>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</si>
  <si>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</si>
  <si>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</si>
  <si>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</si>
  <si>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</si>
  <si>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</si>
  <si>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</si>
  <si>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</si>
  <si>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</si>
  <si>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</si>
  <si>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</si>
  <si>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</si>
  <si>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</si>
  <si>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</si>
  <si>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</si>
  <si>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</si>
  <si>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</si>
  <si>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</si>
  <si>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</si>
  <si>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</si>
  <si>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</si>
  <si>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</si>
  <si>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</si>
  <si>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</si>
  <si>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</si>
  <si>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</si>
  <si>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</si>
  <si>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</si>
  <si>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</si>
  <si>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</si>
  <si>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</si>
  <si>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</si>
  <si>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</si>
  <si>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</si>
  <si>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</si>
  <si>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</si>
  <si>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</si>
  <si>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</si>
  <si>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</si>
  <si>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</si>
  <si>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</si>
  <si>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</si>
  <si>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</si>
  <si>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</si>
  <si>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</si>
  <si>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</si>
  <si>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</si>
  <si>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</si>
  <si>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</si>
  <si>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</si>
  <si>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</si>
  <si>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</si>
  <si>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</si>
  <si>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</si>
  <si>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</si>
  <si>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</si>
  <si>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</si>
  <si>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</si>
  <si>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</si>
  <si>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</si>
  <si>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</si>
  <si>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</si>
  <si>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</si>
  <si>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</si>
  <si>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</si>
  <si>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</si>
  <si>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</si>
  <si>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</si>
  <si>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</si>
  <si>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</si>
  <si>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</si>
  <si>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</si>
  <si>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</si>
  <si>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</si>
  <si>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</si>
  <si>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</si>
  <si>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</si>
  <si>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</si>
  <si>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</si>
  <si>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</si>
  <si>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</si>
  <si>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</si>
  <si>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</si>
  <si>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</si>
  <si>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</si>
  <si>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</si>
  <si>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</si>
  <si>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</si>
  <si>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</si>
  <si>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</si>
  <si>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</si>
  <si>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</si>
  <si>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</si>
  <si>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</si>
  <si>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</si>
  <si>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</si>
  <si>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</si>
  <si>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</si>
  <si>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</si>
  <si>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</si>
  <si>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</si>
  <si>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</si>
  <si>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</si>
  <si>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</si>
  <si>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</si>
  <si>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</si>
  <si>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</si>
  <si>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</si>
  <si>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</si>
  <si>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</si>
  <si>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</si>
  <si>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</si>
  <si>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</si>
  <si>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</si>
  <si>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</si>
  <si>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</si>
  <si>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</si>
  <si>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</si>
  <si>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</si>
  <si>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</si>
  <si>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</si>
  <si>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</si>
  <si>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</si>
  <si>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</si>
  <si>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</si>
  <si>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</si>
  <si>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</si>
  <si>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</si>
  <si>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</si>
  <si>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</si>
  <si>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</si>
  <si>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</si>
  <si>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</si>
  <si>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</si>
  <si>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</si>
  <si>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</si>
  <si>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</si>
  <si>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</si>
  <si>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</si>
  <si>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</si>
  <si>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</si>
  <si>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</si>
  <si>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</si>
  <si>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</si>
  <si>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</si>
  <si>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</si>
  <si>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</si>
  <si>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</si>
  <si>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</si>
  <si>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</si>
  <si>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</si>
  <si>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</si>
  <si>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</si>
  <si>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</si>
  <si>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</si>
  <si>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</si>
  <si>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</si>
  <si>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</si>
  <si>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</si>
  <si>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</si>
  <si>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</si>
  <si>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</si>
  <si>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</si>
  <si>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</si>
  <si>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</si>
  <si>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</si>
  <si>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</si>
  <si>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</si>
  <si>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</si>
  <si>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</si>
  <si>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</si>
  <si>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</si>
  <si>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</si>
  <si>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</si>
  <si>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</si>
  <si>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</si>
  <si>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</si>
  <si>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</si>
  <si>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</si>
  <si>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</si>
  <si>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</si>
  <si>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</si>
  <si>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</si>
  <si>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</si>
  <si>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</si>
  <si>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</si>
  <si>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</si>
  <si>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</si>
  <si>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</si>
  <si>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</si>
  <si>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</si>
  <si>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</si>
  <si>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</si>
  <si>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</si>
  <si>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</si>
  <si>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</si>
  <si>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</si>
  <si>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</si>
  <si>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</si>
  <si>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</si>
  <si>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</si>
  <si>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</si>
  <si>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</si>
  <si>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</si>
  <si>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</si>
  <si>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</si>
  <si>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</si>
  <si>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</si>
  <si>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</si>
  <si>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</si>
  <si>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</si>
  <si>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</si>
  <si>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</si>
  <si>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</si>
  <si>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</si>
  <si>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</si>
  <si>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</si>
  <si>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</si>
  <si>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</si>
  <si>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</si>
  <si>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</si>
  <si>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</si>
  <si>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</si>
  <si>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</si>
  <si>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</si>
  <si>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</si>
  <si>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</si>
  <si>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</si>
  <si>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</si>
  <si>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</si>
  <si>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</si>
  <si>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</si>
  <si>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</si>
  <si>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</si>
  <si>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</si>
  <si>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</si>
  <si>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</si>
  <si>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</si>
  <si>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</si>
  <si>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</si>
  <si>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</si>
  <si>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</si>
  <si>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</si>
  <si>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</si>
  <si>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</si>
  <si>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</si>
  <si>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</si>
  <si>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</si>
  <si>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</si>
  <si>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</si>
  <si>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</si>
  <si>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</si>
  <si>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</si>
  <si>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</si>
  <si>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</si>
  <si>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</si>
  <si>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</si>
  <si>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</si>
  <si>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</si>
  <si>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</si>
  <si>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</si>
  <si>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</si>
  <si>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</si>
  <si>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</si>
  <si>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</si>
  <si>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</si>
  <si>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</si>
  <si>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</si>
  <si>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</si>
  <si>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</si>
  <si>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</si>
  <si>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</si>
  <si>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</si>
  <si>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</si>
  <si>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</si>
  <si>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</si>
  <si>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</si>
  <si>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</si>
  <si>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</si>
  <si>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</si>
  <si>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</si>
  <si>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</si>
  <si>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</si>
  <si>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</si>
  <si>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</si>
  <si>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</si>
  <si>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</si>
  <si>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</si>
  <si>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</si>
  <si>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</si>
  <si>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</si>
  <si>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</si>
  <si>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</si>
  <si>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</si>
  <si>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</si>
  <si>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</si>
  <si>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</si>
  <si>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</si>
  <si>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</si>
  <si>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</si>
  <si>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</si>
  <si>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</si>
  <si>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</si>
  <si>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</si>
  <si>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</si>
  <si>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</si>
  <si>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</si>
  <si>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</si>
  <si>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</si>
  <si>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</si>
  <si>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</si>
  <si>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</si>
  <si>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</si>
  <si>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</si>
  <si>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</si>
  <si>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</si>
  <si>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</si>
  <si>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</si>
  <si>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</si>
  <si>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</si>
  <si>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</si>
  <si>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</si>
  <si>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</si>
  <si>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</si>
  <si>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</si>
  <si>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</si>
  <si>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</si>
  <si>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</si>
  <si>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</si>
  <si>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</si>
  <si>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</si>
  <si>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</si>
  <si>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</si>
  <si>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</si>
  <si>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</si>
  <si>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</si>
  <si>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</si>
  <si>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</si>
  <si>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</si>
  <si>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</si>
  <si>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</si>
  <si>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</si>
  <si>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</si>
  <si>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</si>
  <si>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</si>
  <si>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</si>
  <si>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</si>
  <si>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</si>
  <si>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</si>
  <si>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</si>
  <si>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</si>
  <si>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</si>
  <si>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</si>
  <si>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</si>
  <si>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</si>
  <si>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</si>
  <si>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</si>
  <si>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</si>
  <si>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</si>
  <si>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</si>
  <si>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</si>
  <si>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</si>
  <si>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</si>
  <si>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</si>
  <si>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</si>
  <si>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</si>
  <si>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</si>
  <si>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</si>
  <si>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</si>
  <si>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</si>
  <si>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</si>
  <si>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</si>
  <si>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</si>
  <si>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</si>
  <si>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</si>
  <si>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</si>
  <si>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</si>
  <si>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</si>
  <si>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</si>
  <si>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</si>
  <si>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</si>
  <si>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</si>
  <si>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</si>
  <si>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</si>
  <si>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</si>
  <si>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</si>
  <si>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</si>
  <si>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</si>
  <si>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</si>
  <si>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</si>
  <si>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</si>
  <si>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</si>
  <si>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</si>
  <si>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</si>
  <si>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</si>
  <si>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</si>
  <si>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</si>
  <si>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</si>
  <si>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</si>
  <si>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</si>
  <si>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</si>
  <si>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</si>
  <si>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</si>
  <si>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</si>
  <si>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</si>
  <si>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</si>
  <si>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</si>
  <si>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</si>
  <si>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</si>
  <si>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</si>
  <si>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</si>
  <si>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</si>
  <si>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</si>
  <si>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</si>
  <si>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</si>
  <si>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</si>
  <si>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</si>
  <si>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</si>
  <si>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</si>
  <si>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</si>
  <si>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</si>
  <si>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</si>
  <si>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</si>
  <si>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</si>
  <si>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</si>
  <si>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</si>
  <si>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</si>
  <si>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</si>
  <si>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</si>
  <si>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</si>
  <si>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</si>
  <si>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</si>
  <si>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</si>
  <si>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</si>
  <si>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</si>
  <si>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</si>
  <si>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</si>
  <si>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</si>
  <si>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</si>
  <si>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</si>
  <si>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</si>
  <si>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</si>
  <si>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</si>
  <si>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</si>
  <si>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</si>
  <si>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</si>
  <si>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</si>
  <si>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</si>
  <si>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</si>
  <si>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</si>
  <si>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</si>
  <si>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</si>
  <si>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</si>
  <si>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</si>
  <si>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</si>
  <si>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</si>
  <si>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</si>
  <si>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</si>
  <si>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</si>
  <si>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</si>
  <si>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</si>
  <si>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</si>
  <si>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</si>
  <si>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</si>
  <si>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</si>
  <si>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</si>
  <si>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</si>
  <si>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</si>
  <si>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</si>
  <si>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</si>
  <si>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</si>
  <si>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</si>
  <si>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</si>
  <si>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</si>
  <si>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</si>
  <si>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</si>
  <si>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</si>
  <si>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</si>
  <si>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</si>
  <si>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</si>
  <si>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</si>
  <si>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</si>
  <si>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</si>
  <si>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</si>
  <si>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</si>
  <si>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</si>
  <si>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</si>
  <si>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</si>
  <si>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</si>
  <si>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</si>
  <si>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</si>
  <si>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</si>
  <si>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</si>
  <si>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</si>
  <si>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</si>
  <si>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</si>
  <si>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</si>
  <si>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</si>
  <si>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</si>
  <si>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</si>
  <si>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</si>
  <si>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</si>
  <si>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</si>
  <si>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</si>
  <si>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</si>
  <si>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</si>
  <si>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</si>
  <si>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</si>
  <si>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</si>
  <si>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</si>
  <si>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</si>
  <si>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</si>
  <si>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</si>
  <si>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</si>
  <si>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</si>
  <si>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</si>
  <si>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</si>
  <si>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</si>
  <si>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</si>
  <si>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</si>
  <si>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</si>
  <si>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</si>
  <si>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</si>
  <si>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</si>
  <si>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</si>
  <si>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</si>
  <si>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</si>
  <si>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</si>
  <si>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</si>
  <si>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</si>
  <si>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</si>
  <si>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</si>
  <si>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</si>
  <si>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</si>
  <si>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</si>
  <si>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</si>
  <si>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</si>
  <si>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</si>
  <si>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</si>
  <si>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</si>
  <si>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</si>
  <si>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</si>
  <si>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</si>
  <si>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</si>
  <si>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</si>
  <si>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</si>
  <si>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</si>
  <si>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</si>
  <si>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</si>
  <si>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</si>
  <si>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</si>
  <si>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</si>
  <si>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</si>
  <si>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</si>
  <si>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</si>
  <si>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</si>
  <si>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</si>
  <si>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</si>
  <si>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</si>
  <si>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</si>
  <si>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</si>
  <si>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</si>
  <si>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</si>
  <si>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</si>
  <si>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</si>
  <si>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</si>
  <si>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</si>
  <si>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</si>
  <si>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</si>
  <si>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</si>
  <si>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</si>
  <si>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</si>
  <si>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</si>
  <si>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</si>
  <si>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</si>
  <si>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</si>
  <si>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</si>
  <si>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</si>
  <si>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</si>
  <si>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</si>
  <si>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</si>
  <si>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</si>
  <si>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</si>
  <si>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</si>
  <si>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</si>
  <si>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</si>
  <si>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</si>
  <si>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</si>
  <si>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</si>
  <si>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</si>
  <si>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</si>
  <si>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</si>
  <si>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</si>
  <si>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</si>
  <si>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</si>
  <si>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</si>
  <si>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</si>
  <si>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</si>
  <si>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</si>
  <si>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</si>
  <si>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</si>
  <si>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</si>
  <si>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</si>
  <si>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</si>
  <si>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</si>
  <si>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</si>
  <si>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</si>
  <si>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</si>
  <si>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</si>
  <si>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</si>
  <si>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</si>
  <si>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</si>
  <si>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</si>
  <si>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</si>
  <si>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</si>
  <si>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</si>
  <si>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</si>
  <si>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</si>
  <si>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</si>
  <si>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</si>
  <si>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</si>
  <si>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</si>
  <si>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</si>
  <si>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</si>
  <si>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</si>
  <si>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</si>
  <si>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</si>
  <si>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</si>
  <si>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</si>
  <si>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</si>
  <si>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</si>
  <si>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</si>
  <si>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</si>
  <si>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</si>
  <si>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</si>
  <si>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</si>
  <si>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</si>
  <si>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</si>
  <si>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</si>
  <si>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</si>
  <si>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</si>
  <si>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</si>
  <si>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</si>
  <si>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</si>
  <si>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</si>
  <si>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</si>
  <si>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</si>
  <si>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</si>
  <si>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</si>
  <si>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</si>
  <si>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</si>
  <si>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</si>
  <si>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</si>
  <si>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</si>
  <si>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</si>
  <si>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</si>
  <si>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</si>
  <si>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</si>
  <si>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</si>
  <si>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</si>
  <si>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</si>
  <si>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</si>
  <si>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</si>
  <si>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</si>
  <si>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</si>
  <si>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</si>
  <si>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</si>
  <si>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</si>
  <si>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</si>
  <si>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</si>
  <si>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</si>
  <si>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</si>
  <si>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</si>
  <si>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</si>
  <si>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</si>
  <si>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</si>
  <si>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</si>
  <si>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</si>
  <si>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</si>
  <si>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</si>
  <si>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</si>
  <si>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</si>
  <si>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</si>
  <si>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</si>
  <si>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</si>
  <si>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</si>
  <si>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</si>
  <si>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</si>
  <si>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</si>
  <si>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</si>
  <si>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</si>
  <si>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</si>
  <si>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</si>
  <si>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</si>
  <si>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</si>
  <si>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</si>
  <si>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</si>
  <si>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</si>
  <si>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</si>
  <si>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</si>
  <si>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</si>
  <si>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</si>
  <si>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</si>
  <si>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</si>
  <si>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</si>
  <si>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</si>
  <si>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</si>
  <si>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</si>
  <si>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</si>
  <si>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</si>
  <si>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</si>
  <si>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</si>
  <si>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</si>
  <si>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</si>
  <si>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</si>
  <si>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</si>
  <si>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</si>
  <si>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</si>
  <si>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</si>
  <si>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</si>
  <si>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</si>
  <si>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</si>
  <si>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</si>
  <si>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</si>
  <si>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</si>
  <si>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</si>
  <si>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</si>
  <si>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</si>
  <si>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</si>
  <si>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</si>
  <si>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</si>
  <si>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</si>
  <si>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</si>
  <si>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</si>
  <si>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</si>
  <si>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</si>
  <si>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</si>
  <si>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</si>
  <si>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</si>
  <si>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</si>
  <si>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</si>
  <si>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</si>
  <si>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</si>
  <si>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</si>
  <si>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</si>
  <si>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</si>
  <si>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</si>
  <si>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</si>
  <si>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</si>
  <si>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</si>
  <si>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</si>
  <si>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</si>
  <si>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</si>
  <si>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</si>
  <si>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</si>
  <si>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</si>
  <si>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</si>
  <si>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</si>
  <si>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</si>
  <si>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</si>
  <si>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</si>
  <si>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</si>
  <si>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</si>
  <si>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</si>
  <si>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</si>
  <si>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</si>
  <si>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</si>
  <si>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</si>
  <si>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</si>
  <si>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</si>
  <si>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</si>
  <si>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</si>
  <si>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</si>
  <si>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</si>
  <si>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</si>
  <si>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</si>
  <si>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</si>
  <si>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</si>
  <si>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</si>
  <si>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</si>
  <si>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</si>
  <si>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</si>
  <si>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</si>
  <si>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</si>
  <si>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</si>
  <si>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</si>
  <si>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</si>
  <si>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</si>
  <si>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</si>
  <si>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</si>
  <si>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</si>
  <si>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</si>
  <si>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</si>
  <si>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</si>
  <si>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</si>
  <si>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</si>
  <si>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</si>
  <si>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</si>
  <si>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</si>
  <si>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</si>
  <si>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</si>
  <si>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</si>
  <si>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</si>
  <si>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</si>
  <si>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</si>
  <si>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</si>
  <si>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</si>
  <si>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</si>
  <si>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</si>
  <si>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</si>
  <si>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</si>
  <si>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</si>
  <si>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</si>
  <si>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</si>
  <si>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</si>
  <si>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</si>
  <si>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</si>
  <si>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</si>
  <si>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</si>
  <si>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</si>
  <si>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</si>
  <si>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</si>
  <si>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</si>
  <si>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</si>
  <si>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</si>
  <si>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</si>
  <si>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</si>
  <si>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</si>
  <si>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</si>
  <si>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</si>
  <si>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</si>
  <si>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</si>
  <si>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</si>
  <si>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</si>
  <si>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</si>
  <si>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</si>
  <si>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</si>
  <si>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</si>
  <si>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</si>
  <si>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</si>
  <si>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</si>
  <si>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</si>
  <si>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</si>
  <si>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</si>
  <si>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</si>
  <si>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</si>
  <si>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</si>
  <si>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</si>
  <si>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</si>
  <si>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</si>
  <si>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</si>
  <si>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</si>
  <si>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</si>
  <si>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</si>
  <si>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</si>
  <si>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</si>
  <si>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</si>
  <si>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</si>
  <si>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</si>
  <si>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</si>
  <si>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</si>
  <si>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</si>
  <si>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</si>
  <si>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</si>
  <si>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</si>
  <si>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</si>
  <si>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</si>
  <si>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</si>
  <si>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</si>
  <si>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</si>
  <si>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</si>
  <si>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</si>
  <si>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</si>
  <si>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</si>
  <si>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</si>
  <si>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</si>
  <si>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</si>
  <si>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t>集保標準</t>
    <phoneticPr fontId="19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</si>
  <si>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</si>
  <si>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</si>
  <si>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</si>
  <si>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</si>
  <si>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</si>
  <si>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</si>
  <si>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</si>
  <si>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</si>
  <si>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</si>
  <si>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</si>
  <si>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</si>
  <si>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</si>
  <si>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</si>
  <si>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</si>
  <si>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</si>
  <si>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</si>
  <si>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聯發科(2454)</t>
  </si>
  <si>
    <t>聯發科（2454）</t>
  </si>
  <si>
    <t>聯詠(3034)</t>
  </si>
  <si>
    <t>聯詠（3034）</t>
  </si>
  <si>
    <t>瑞昱(2379)</t>
  </si>
  <si>
    <t>瑞昱（2379）</t>
  </si>
  <si>
    <t>聯詠(3034)</t>
    <phoneticPr fontId="2" type="noConversion"/>
  </si>
  <si>
    <t>瑞昱(2379)</t>
    <phoneticPr fontId="2" type="noConversion"/>
  </si>
  <si>
    <t>聯發科(2454)</t>
    <phoneticPr fontId="2" type="noConversion"/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</si>
  <si>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</si>
  <si>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</si>
  <si>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</si>
  <si>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</si>
  <si>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</si>
  <si>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</si>
  <si>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</si>
  <si>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</si>
  <si>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</si>
  <si>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</si>
  <si>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</si>
  <si>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</si>
  <si>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</si>
  <si>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</si>
  <si>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季線</t>
  </si>
  <si>
    <t>營收</t>
  </si>
  <si>
    <t>集保</t>
  </si>
  <si>
    <t>融資</t>
  </si>
  <si>
    <t>法人</t>
  </si>
  <si>
    <t>合計</t>
  </si>
  <si>
    <t>營業收入</t>
  </si>
  <si>
    <t>累計營業收入</t>
  </si>
  <si>
    <t>備註</t>
  </si>
  <si>
    <t>宇智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</si>
  <si>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</si>
  <si>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</si>
  <si>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</si>
  <si>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</si>
  <si>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</si>
  <si>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</si>
  <si>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</si>
  <si>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</si>
  <si>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</si>
  <si>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</si>
  <si>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</si>
  <si>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</si>
  <si>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</si>
  <si>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</si>
  <si>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</si>
  <si>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</si>
  <si>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</si>
  <si>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</si>
  <si>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</si>
  <si>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</si>
  <si>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</si>
  <si>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</si>
  <si>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</si>
  <si>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</si>
  <si>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 xml:space="preserve">F-材料          </t>
  </si>
  <si>
    <t>公告比對</t>
    <phoneticPr fontId="2" type="noConversion"/>
  </si>
  <si>
    <t>已讀/待讀</t>
    <phoneticPr fontId="2" type="noConversion"/>
  </si>
  <si>
    <t>上櫃</t>
  </si>
  <si>
    <t>中華食品</t>
  </si>
  <si>
    <t>世坤塑膠</t>
  </si>
  <si>
    <t>新昕纖維</t>
  </si>
  <si>
    <t>新麥企業</t>
  </si>
  <si>
    <t>高鋒工業</t>
  </si>
  <si>
    <t>福裕事業</t>
  </si>
  <si>
    <t>霖</t>
  </si>
  <si>
    <t>江興鍛壓</t>
  </si>
  <si>
    <t>協易機械</t>
  </si>
  <si>
    <t>鈦昇科技</t>
  </si>
  <si>
    <t>朋程科技</t>
  </si>
  <si>
    <t>皇田工業</t>
  </si>
  <si>
    <t>永純化工</t>
  </si>
  <si>
    <t>精華光學</t>
  </si>
  <si>
    <t>合世生醫</t>
  </si>
  <si>
    <t>杏昌生技</t>
  </si>
  <si>
    <t>進階生物</t>
  </si>
  <si>
    <t>永日化工</t>
  </si>
  <si>
    <t>百略醫學</t>
  </si>
  <si>
    <t>台灣東洋</t>
  </si>
  <si>
    <t>濟生藥廠</t>
  </si>
  <si>
    <t>優盛醫學</t>
  </si>
  <si>
    <t>中天生技</t>
  </si>
  <si>
    <t>聿新生技</t>
  </si>
  <si>
    <t>鐿鈦科技</t>
  </si>
  <si>
    <t>瑞基海洋</t>
  </si>
  <si>
    <t>安克生醫</t>
  </si>
  <si>
    <t>杏國新藥</t>
  </si>
  <si>
    <t>永昕生物</t>
  </si>
  <si>
    <t>豪展醫療</t>
  </si>
  <si>
    <t>合一生技</t>
  </si>
  <si>
    <t>強生製藥</t>
  </si>
  <si>
    <t>大江生醫</t>
  </si>
  <si>
    <t>唐榮公司</t>
  </si>
  <si>
    <t>強新工業</t>
  </si>
  <si>
    <t>有益鋼鐵</t>
  </si>
  <si>
    <t>普格科技</t>
  </si>
  <si>
    <t>鑫創科技</t>
  </si>
  <si>
    <t>欣銓科技</t>
  </si>
  <si>
    <t>尼克森微</t>
  </si>
  <si>
    <t>台灣類比</t>
  </si>
  <si>
    <t>擎泰科技</t>
  </si>
  <si>
    <t>德微科技</t>
  </si>
  <si>
    <t>廣穎電通</t>
  </si>
  <si>
    <t>信驊科技</t>
  </si>
  <si>
    <t>世紀民生</t>
  </si>
  <si>
    <t>鈺創科技</t>
  </si>
  <si>
    <t>中美矽晶</t>
  </si>
  <si>
    <t>創惟科技</t>
  </si>
  <si>
    <t>普誠科技</t>
  </si>
  <si>
    <t>茂達電子</t>
  </si>
  <si>
    <t>頎邦科技</t>
  </si>
  <si>
    <t>凌泰科技</t>
  </si>
  <si>
    <t>旺玖科技</t>
  </si>
  <si>
    <t>元隆電子</t>
  </si>
  <si>
    <t>紘康科技</t>
  </si>
  <si>
    <t>環球晶圓</t>
  </si>
  <si>
    <t>九暘電子</t>
  </si>
  <si>
    <t>宏捷科技</t>
  </si>
  <si>
    <t>商丞科技</t>
  </si>
  <si>
    <t>順達科</t>
  </si>
  <si>
    <t>茂訊電腦</t>
  </si>
  <si>
    <t>廣寰</t>
  </si>
  <si>
    <t>泓格科技</t>
  </si>
  <si>
    <t>宜鼎國際</t>
  </si>
  <si>
    <t>協益電子</t>
  </si>
  <si>
    <t>上奇科技</t>
  </si>
  <si>
    <t>群聯電子</t>
  </si>
  <si>
    <t>聯一光學</t>
  </si>
  <si>
    <t>益通光能</t>
  </si>
  <si>
    <t>先益電子</t>
  </si>
  <si>
    <t>湯石照明</t>
  </si>
  <si>
    <t>晶達光電</t>
  </si>
  <si>
    <t>光聯科技</t>
  </si>
  <si>
    <t>達威光電</t>
  </si>
  <si>
    <t>巨擘科技</t>
  </si>
  <si>
    <t>立碁電子</t>
  </si>
  <si>
    <t>華宏新技</t>
  </si>
  <si>
    <t>璟德電子</t>
  </si>
  <si>
    <t>台灣嘉碩</t>
  </si>
  <si>
    <t>東浦精密</t>
  </si>
  <si>
    <t>前鼎光電</t>
  </si>
  <si>
    <t>亞元科技</t>
  </si>
  <si>
    <t>振曜科技</t>
  </si>
  <si>
    <t>豪勉科技</t>
  </si>
  <si>
    <t>普萊德科</t>
  </si>
  <si>
    <t>凱碩科技</t>
  </si>
  <si>
    <t>天宇工業</t>
  </si>
  <si>
    <t>川寶科技</t>
  </si>
  <si>
    <t>富喬工業</t>
  </si>
  <si>
    <t>僑威科技</t>
  </si>
  <si>
    <t>志豐電子</t>
  </si>
  <si>
    <t>點晶科技</t>
  </si>
  <si>
    <t>佳穎精密</t>
  </si>
  <si>
    <t>建舜電子</t>
  </si>
  <si>
    <t>矽瑪科技</t>
  </si>
  <si>
    <t>振維電子</t>
  </si>
  <si>
    <t>凡甲科技</t>
  </si>
  <si>
    <t>湧德電子</t>
  </si>
  <si>
    <t>友銓電子</t>
  </si>
  <si>
    <t>先豐通訊</t>
  </si>
  <si>
    <t>同協電子</t>
  </si>
  <si>
    <t>霖宏科技</t>
  </si>
  <si>
    <t>德宏工業</t>
  </si>
  <si>
    <t>華韡電子</t>
  </si>
  <si>
    <t>松普科技</t>
  </si>
  <si>
    <t>連展科技</t>
  </si>
  <si>
    <t>業強科技</t>
  </si>
  <si>
    <t>信音企業</t>
  </si>
  <si>
    <t>九豪精密</t>
  </si>
  <si>
    <t>信昌電陶</t>
  </si>
  <si>
    <t>安碁科技</t>
  </si>
  <si>
    <t>幃翔精密</t>
  </si>
  <si>
    <t>艾華電子</t>
  </si>
  <si>
    <t>日揚科技</t>
  </si>
  <si>
    <t>福登精密</t>
  </si>
  <si>
    <t>泰詠電子</t>
  </si>
  <si>
    <t>佳邦科技</t>
  </si>
  <si>
    <t>良維科技</t>
  </si>
  <si>
    <t>今展科技</t>
  </si>
  <si>
    <t>蜜望實企</t>
  </si>
  <si>
    <t>鉅橡企業</t>
  </si>
  <si>
    <t>博大科技</t>
  </si>
  <si>
    <t>越峰電子</t>
  </si>
  <si>
    <t>博智電子</t>
  </si>
  <si>
    <t>金居開發</t>
  </si>
  <si>
    <t>倍微科技</t>
  </si>
  <si>
    <t>光菱電子</t>
  </si>
  <si>
    <t>志旭國際</t>
  </si>
  <si>
    <t>巨虹電子</t>
  </si>
  <si>
    <t>中菲電腦</t>
  </si>
  <si>
    <t>大同世界</t>
  </si>
  <si>
    <t>西柏科技</t>
  </si>
  <si>
    <t>閎康科技</t>
  </si>
  <si>
    <t>駿熠電子</t>
  </si>
  <si>
    <t>金利精密</t>
  </si>
  <si>
    <t>彩富電子</t>
  </si>
  <si>
    <t>三聯科技</t>
  </si>
  <si>
    <t>萬潤科技</t>
  </si>
  <si>
    <t>勝麗國際</t>
  </si>
  <si>
    <t>大園汽電</t>
  </si>
  <si>
    <t>富宇地產</t>
  </si>
  <si>
    <t>永信建設</t>
  </si>
  <si>
    <t>三豐建設</t>
  </si>
  <si>
    <t>雙喜營造</t>
  </si>
  <si>
    <t>正德海運</t>
  </si>
  <si>
    <t>臺聯貨櫃</t>
  </si>
  <si>
    <t>中連貨運</t>
  </si>
  <si>
    <t>瓦城泰統</t>
  </si>
  <si>
    <t>六角國際</t>
  </si>
  <si>
    <t>知本老爺</t>
  </si>
  <si>
    <t>日盛金控</t>
  </si>
  <si>
    <t>宏遠證券</t>
  </si>
  <si>
    <t>元大期貨</t>
  </si>
  <si>
    <t>滿心企業</t>
  </si>
  <si>
    <t>新洲全球</t>
  </si>
  <si>
    <t>全家便利</t>
  </si>
  <si>
    <t>晟田科技</t>
  </si>
  <si>
    <t>白紗科技</t>
  </si>
  <si>
    <t>沈氏藝印</t>
  </si>
  <si>
    <t>大田精密</t>
  </si>
  <si>
    <t>國統國際</t>
  </si>
  <si>
    <t>合騏工業</t>
  </si>
  <si>
    <t>鈊象電子</t>
  </si>
  <si>
    <t>宇峻奧汀</t>
  </si>
  <si>
    <t>得利影視</t>
  </si>
  <si>
    <t>環泰企業</t>
  </si>
  <si>
    <t>松懋工業</t>
  </si>
  <si>
    <t>光明絲織</t>
  </si>
  <si>
    <t>精確實業</t>
  </si>
  <si>
    <t>大恭化學</t>
  </si>
  <si>
    <t>美時製藥</t>
  </si>
  <si>
    <t>晶宇生技</t>
  </si>
  <si>
    <t>家登精密</t>
  </si>
  <si>
    <t>李洲科技</t>
  </si>
  <si>
    <t>祥業科技</t>
  </si>
  <si>
    <t>凱崴電子</t>
  </si>
  <si>
    <t>迅德興業</t>
  </si>
  <si>
    <t>尚茂電子</t>
  </si>
  <si>
    <t>星雲電腦</t>
  </si>
  <si>
    <t>德昌營造</t>
  </si>
  <si>
    <t>亞都麗緻</t>
  </si>
  <si>
    <t>大眾證券</t>
  </si>
  <si>
    <t>冠好科技</t>
  </si>
  <si>
    <t>萬國通路</t>
  </si>
  <si>
    <t>東隆興業</t>
  </si>
  <si>
    <t>飛寶動能</t>
  </si>
  <si>
    <t>金洲海洋</t>
  </si>
  <si>
    <t>興采實業</t>
  </si>
  <si>
    <t>和勤精機</t>
  </si>
  <si>
    <t>彬台科技</t>
  </si>
  <si>
    <t>永彰機電</t>
  </si>
  <si>
    <t>宏易精密</t>
  </si>
  <si>
    <t>慶騰精密</t>
  </si>
  <si>
    <t>至興精機</t>
  </si>
  <si>
    <t>擎邦國際</t>
  </si>
  <si>
    <t>唐鋒實業</t>
  </si>
  <si>
    <t>大立高</t>
  </si>
  <si>
    <t>(又又)邦</t>
  </si>
  <si>
    <t>訊聯生物</t>
  </si>
  <si>
    <t>邦特生技</t>
  </si>
  <si>
    <t>健喬信元</t>
  </si>
  <si>
    <t>天良生技</t>
  </si>
  <si>
    <t>聯合骨科</t>
  </si>
  <si>
    <t>曜亞國際</t>
  </si>
  <si>
    <t>盛弘醫藥</t>
  </si>
  <si>
    <t>建錩實業</t>
  </si>
  <si>
    <t>松和工業</t>
  </si>
  <si>
    <t>恒耀國際</t>
  </si>
  <si>
    <t>笙泉科技</t>
  </si>
  <si>
    <t>倚強科技</t>
  </si>
  <si>
    <t>威剛科技</t>
  </si>
  <si>
    <t>逸昌科技</t>
  </si>
  <si>
    <t>博磊科技</t>
  </si>
  <si>
    <t>立衛科技</t>
  </si>
  <si>
    <t>誠遠科技</t>
  </si>
  <si>
    <t>協禧電機</t>
  </si>
  <si>
    <t>信億科技</t>
  </si>
  <si>
    <t>旭品科技</t>
  </si>
  <si>
    <t>安勤科技</t>
  </si>
  <si>
    <t>曜越科技</t>
  </si>
  <si>
    <t>青雲國際</t>
  </si>
  <si>
    <t>東友科技</t>
  </si>
  <si>
    <t>聰泰科技</t>
  </si>
  <si>
    <t>瑞傳科技</t>
  </si>
  <si>
    <t>撼訊科技</t>
  </si>
  <si>
    <t>欣技資訊</t>
  </si>
  <si>
    <t>廣明光電</t>
  </si>
  <si>
    <t>上揚科技</t>
  </si>
  <si>
    <t>全譜科技</t>
  </si>
  <si>
    <t>崴強科技</t>
  </si>
  <si>
    <t>廣積科技</t>
  </si>
  <si>
    <t>伍豐科技</t>
  </si>
  <si>
    <t>昇銳電子</t>
  </si>
  <si>
    <t>錦明實</t>
  </si>
  <si>
    <t>泰谷光電</t>
  </si>
  <si>
    <t>先進光電</t>
  </si>
  <si>
    <t>迎輝科技</t>
  </si>
  <si>
    <t>安可光電</t>
  </si>
  <si>
    <t>卓韋光電</t>
  </si>
  <si>
    <t>揚華</t>
  </si>
  <si>
    <t>兆遠科技</t>
  </si>
  <si>
    <t>均豪精密</t>
  </si>
  <si>
    <t>久正光電</t>
  </si>
  <si>
    <t>晶采光電</t>
  </si>
  <si>
    <t>元太科技</t>
  </si>
  <si>
    <t>鼎天國際</t>
  </si>
  <si>
    <t>長天科技</t>
  </si>
  <si>
    <t>昇達科技</t>
  </si>
  <si>
    <t>聯光通信</t>
  </si>
  <si>
    <t>台聯電訊</t>
  </si>
  <si>
    <t>系通科技</t>
  </si>
  <si>
    <t>台林電通</t>
  </si>
  <si>
    <t>立端科技</t>
  </si>
  <si>
    <t>榮群電訊</t>
  </si>
  <si>
    <t>德勝科技</t>
  </si>
  <si>
    <t>常珵科技</t>
  </si>
  <si>
    <t>好德科技</t>
  </si>
  <si>
    <t>樺晟電子</t>
  </si>
  <si>
    <t>優群科技</t>
  </si>
  <si>
    <t>律勝科技</t>
  </si>
  <si>
    <t>長盛科技</t>
  </si>
  <si>
    <t>系統電子</t>
  </si>
  <si>
    <t>華容公司</t>
  </si>
  <si>
    <t>建榮工業</t>
  </si>
  <si>
    <t>合正科技</t>
  </si>
  <si>
    <t>統盟電子</t>
  </si>
  <si>
    <t>華美電子</t>
  </si>
  <si>
    <t>久威國際</t>
  </si>
  <si>
    <t>萬旭電業</t>
  </si>
  <si>
    <t>松上電子</t>
  </si>
  <si>
    <t>育富電子</t>
  </si>
  <si>
    <t>慶生電子</t>
  </si>
  <si>
    <t>保銳科技</t>
  </si>
  <si>
    <t>正淩精工</t>
  </si>
  <si>
    <t>加高電子</t>
  </si>
  <si>
    <t>英格爾科</t>
  </si>
  <si>
    <t>泰藝電子</t>
  </si>
  <si>
    <t>利機企業</t>
  </si>
  <si>
    <t>安馳科技</t>
  </si>
  <si>
    <t>亞矽科技</t>
  </si>
  <si>
    <t>建達國際</t>
  </si>
  <si>
    <t>佳營</t>
  </si>
  <si>
    <t>大塚資訊</t>
  </si>
  <si>
    <t>緯創軟體</t>
  </si>
  <si>
    <t>凱衛資訊</t>
  </si>
  <si>
    <t>力新國際</t>
  </si>
  <si>
    <t>新鼎系統</t>
  </si>
  <si>
    <t>凌網科技</t>
  </si>
  <si>
    <t>天剛資訊</t>
  </si>
  <si>
    <t>國眾電腦</t>
  </si>
  <si>
    <t>訊達電腦</t>
  </si>
  <si>
    <t>松崗資產</t>
  </si>
  <si>
    <t>網路家庭</t>
  </si>
  <si>
    <t>宜特科技</t>
  </si>
  <si>
    <t>雙鴻科技</t>
  </si>
  <si>
    <t>陽程科技</t>
  </si>
  <si>
    <t>友威科技</t>
  </si>
  <si>
    <t>盈正豫順</t>
  </si>
  <si>
    <t>鑫科材料</t>
  </si>
  <si>
    <t>漢康科技</t>
  </si>
  <si>
    <t>晉倫科技</t>
  </si>
  <si>
    <t>元山科技</t>
  </si>
  <si>
    <t>建暐精密</t>
  </si>
  <si>
    <t>台灣精星</t>
  </si>
  <si>
    <t>綠意開發</t>
  </si>
  <si>
    <t>亞昕國際</t>
  </si>
  <si>
    <t>力泰建設</t>
  </si>
  <si>
    <t>富旺國際</t>
  </si>
  <si>
    <t>台驊投控</t>
  </si>
  <si>
    <t>圓方創新</t>
  </si>
  <si>
    <t>康和證券</t>
  </si>
  <si>
    <t>精剛精密</t>
  </si>
  <si>
    <t>耀億工業</t>
  </si>
  <si>
    <t>智基科技</t>
  </si>
  <si>
    <t>崑鼎投控</t>
  </si>
  <si>
    <t>裕國冷凍</t>
  </si>
  <si>
    <t>花王企業</t>
  </si>
  <si>
    <t>宏大拉鍊</t>
  </si>
  <si>
    <t>泰偉電子</t>
  </si>
  <si>
    <t>中華網龍</t>
  </si>
  <si>
    <t>華義國際</t>
  </si>
  <si>
    <t>樂陞科技</t>
  </si>
  <si>
    <t>紅心辣椒</t>
  </si>
  <si>
    <t>智崴資訊</t>
  </si>
  <si>
    <t>大宇資訊</t>
  </si>
  <si>
    <t>昱泉國際</t>
  </si>
  <si>
    <t>遊戲橘子</t>
  </si>
  <si>
    <t>華研音樂</t>
  </si>
  <si>
    <t>時報文化</t>
  </si>
  <si>
    <t>天品聯合</t>
  </si>
  <si>
    <t>104_10</t>
    <phoneticPr fontId="2" type="noConversion"/>
  </si>
  <si>
    <t>104/11/11</t>
  </si>
  <si>
    <t>南六</t>
  </si>
  <si>
    <t>公告本公司董事會通過民國104年第3季合併財務報告</t>
  </si>
  <si>
    <t>公司債</t>
    <phoneticPr fontId="2" type="noConversion"/>
  </si>
  <si>
    <t>現金增資</t>
    <phoneticPr fontId="2" type="noConversion"/>
  </si>
  <si>
    <t>減資</t>
    <phoneticPr fontId="2" type="noConversion"/>
  </si>
  <si>
    <t>公告本公司董事會通過104年第3季合併財務報表</t>
  </si>
  <si>
    <t>關鍵清單</t>
    <phoneticPr fontId="2" type="noConversion"/>
  </si>
  <si>
    <t>陞泰</t>
  </si>
  <si>
    <t>公告陞泰科技董事會通過104年前三季財務報告</t>
  </si>
  <si>
    <t>正隆</t>
  </si>
  <si>
    <t>公告本公司董事會通過一○四年第三季合併財務報告</t>
  </si>
  <si>
    <t>耿鼎企業</t>
  </si>
  <si>
    <t>公告更正本公司104年第三季合併財務報告第56頁</t>
  </si>
  <si>
    <t>F-聯德</t>
  </si>
  <si>
    <t>公告本公司提報董事會104年前三季合併財務報表</t>
  </si>
  <si>
    <t>篩選結果</t>
  </si>
  <si>
    <t>富爾特</t>
  </si>
  <si>
    <t>公告本公司董事會通過一Ｏ四年累計至第三季合併財務報表</t>
  </si>
  <si>
    <t>104.3Q</t>
  </si>
  <si>
    <t>財務報</t>
    <phoneticPr fontId="2" type="noConversion"/>
  </si>
  <si>
    <t>中華電</t>
  </si>
  <si>
    <t>公告本公司104年第三季財務報告因適用T-IFRSs及IFRSs 兩地會計原則不一致之差異</t>
  </si>
  <si>
    <t>廣達</t>
  </si>
  <si>
    <t>公告104年前三季財務報告</t>
  </si>
  <si>
    <t>X</t>
  </si>
  <si>
    <t>收盤</t>
  </si>
  <si>
    <t>3008</t>
  </si>
  <si>
    <t>大立光(3008)</t>
  </si>
  <si>
    <t>大立光（3008）</t>
  </si>
  <si>
    <t>3008大立光</t>
  </si>
  <si>
    <t xml:space="preserve">△10 </t>
  </si>
  <si>
    <t xml:space="preserve">大立光(3008)      市價：2500  元             PE = </t>
    <phoneticPr fontId="2" type="noConversion"/>
  </si>
  <si>
    <t>當沖找股</t>
  </si>
  <si>
    <t>成交量</t>
  </si>
  <si>
    <t>身分總和</t>
  </si>
  <si>
    <t>買賣日報</t>
  </si>
  <si>
    <t>當日走勢</t>
  </si>
  <si>
    <t>技術線圖</t>
  </si>
  <si>
    <t>整體籌碼</t>
  </si>
  <si>
    <t>三大法人</t>
  </si>
  <si>
    <t>融資融券</t>
  </si>
  <si>
    <t>借券還券</t>
  </si>
  <si>
    <t>個股事件</t>
  </si>
  <si>
    <t>大盤總覽</t>
  </si>
  <si>
    <t>關於股狗</t>
  </si>
  <si>
    <t>更多功能</t>
  </si>
  <si>
    <t xml:space="preserve">查詢 上一檔 下一檔 </t>
  </si>
  <si>
    <t>每日資料開始更新時間:三大法人-18:00，融資券-21:00，借券賣出-00:00</t>
  </si>
  <si>
    <t>整體籌碼總覽</t>
  </si>
  <si>
    <t>外資</t>
  </si>
  <si>
    <t>投信</t>
  </si>
  <si>
    <t>自營商</t>
  </si>
  <si>
    <t>八大行庫</t>
  </si>
  <si>
    <t>融券</t>
  </si>
  <si>
    <t>當沖總和</t>
  </si>
  <si>
    <t>借券賣出</t>
  </si>
  <si>
    <t>當沖總和為'資券互抵'加上'現股當沖'。</t>
  </si>
  <si>
    <t>目前使用：股狗網行動版。</t>
  </si>
  <si>
    <t>完整資料可前往 電腦版 並登入使用</t>
  </si>
  <si>
    <t>如有問題請來信至 service@stockdog.com.tw</t>
  </si>
  <si>
    <t>上櫃鋼鐵工業 整體總覽</t>
  </si>
  <si>
    <t>有益 (9962)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</si>
</sst>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0"/>
      <color rgb="FF000000"/>
      <name val="繚s簡?穢繳?矇"/>
      <family val="3"/>
      <charset val="136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65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5" fillId="0" borderId="0" xfId="3">
      <alignment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183" fontId="3" fillId="20" borderId="9" xfId="1" applyNumberFormat="1" applyFont="1" applyFill="1" applyBorder="1">
      <alignment vertical="center"/>
    </xf>
    <xf numFmtId="10" fontId="3" fillId="20" borderId="9" xfId="0" applyNumberFormat="1" applyFont="1" applyFill="1" applyBorder="1">
      <alignment vertical="center"/>
    </xf>
    <xf numFmtId="176" fontId="3" fillId="20" borderId="9" xfId="1" applyFont="1" applyFill="1" applyBorder="1">
      <alignment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3" fillId="20" borderId="32" xfId="0" applyFont="1" applyFill="1" applyBorder="1">
      <alignment vertical="center"/>
    </xf>
    <xf numFmtId="2" fontId="3" fillId="20" borderId="32" xfId="1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0" fontId="3" fillId="20" borderId="10" xfId="0" applyFont="1" applyFill="1" applyBorder="1">
      <alignment vertical="center"/>
    </xf>
    <xf numFmtId="183" fontId="3" fillId="20" borderId="8" xfId="1" applyNumberFormat="1" applyFont="1" applyFill="1" applyBorder="1">
      <alignment vertical="center"/>
    </xf>
    <xf numFmtId="0" fontId="3" fillId="20" borderId="17" xfId="0" applyFont="1" applyFill="1" applyBorder="1">
      <alignment vertical="center"/>
    </xf>
    <xf numFmtId="0" fontId="3" fillId="20" borderId="31" xfId="0" applyFont="1" applyFill="1" applyBorder="1">
      <alignment vertical="center"/>
    </xf>
    <xf numFmtId="10" fontId="3" fillId="20" borderId="31" xfId="0" applyNumberFormat="1" applyFont="1" applyFill="1" applyBorder="1">
      <alignment vertical="center"/>
    </xf>
    <xf numFmtId="0" fontId="3" fillId="20" borderId="11" xfId="0" applyFont="1" applyFill="1" applyBorder="1">
      <alignment vertical="center"/>
    </xf>
    <xf numFmtId="176" fontId="3" fillId="20" borderId="12" xfId="1" applyFont="1" applyFill="1" applyBorder="1">
      <alignment vertical="center"/>
    </xf>
    <xf numFmtId="2" fontId="3" fillId="20" borderId="20" xfId="1" applyNumberFormat="1" applyFont="1" applyFill="1" applyBorder="1" applyAlignment="1">
      <alignment horizontal="left" vertical="center"/>
    </xf>
    <xf numFmtId="0" fontId="3" fillId="9" borderId="10" xfId="0" applyFont="1" applyFill="1" applyBorder="1">
      <alignment vertical="center"/>
    </xf>
    <xf numFmtId="0" fontId="3" fillId="9" borderId="17" xfId="0" applyFont="1" applyFill="1" applyBorder="1">
      <alignment vertical="center"/>
    </xf>
    <xf numFmtId="0" fontId="3" fillId="9" borderId="31" xfId="0" applyFont="1" applyFill="1" applyBorder="1">
      <alignment vertical="center"/>
    </xf>
    <xf numFmtId="0" fontId="3" fillId="9" borderId="32" xfId="0" applyFont="1" applyFill="1" applyBorder="1">
      <alignment vertical="center"/>
    </xf>
    <xf numFmtId="0" fontId="0" fillId="9" borderId="20" xfId="0" applyFill="1" applyBorder="1">
      <alignment vertical="center"/>
    </xf>
    <xf numFmtId="176" fontId="3" fillId="9" borderId="9" xfId="1" applyFont="1" applyFill="1" applyBorder="1" applyAlignment="1">
      <alignment horizontal="right" vertical="center"/>
    </xf>
    <xf numFmtId="0" fontId="3" fillId="9" borderId="11" xfId="0" applyFont="1" applyFill="1" applyBorder="1">
      <alignment vertical="center"/>
    </xf>
    <xf numFmtId="0" fontId="35" fillId="9" borderId="12" xfId="0" applyFont="1" applyFill="1" applyBorder="1" applyAlignment="1">
      <alignment horizontal="right"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7" borderId="13" xfId="0" applyNumberFormat="1" applyFont="1" applyFill="1" applyBorder="1" applyAlignment="1">
      <alignment horizontal="center"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0" fontId="4" fillId="25" borderId="16" xfId="0" applyFont="1" applyFill="1" applyBorder="1" applyAlignment="1">
      <alignment horizontal="center" vertical="center"/>
    </xf>
    <xf numFmtId="0" fontId="4" fillId="25" borderId="3" xfId="0" applyFont="1" applyFill="1" applyBorder="1" applyAlignment="1">
      <alignment horizontal="center" vertical="center"/>
    </xf>
    <xf numFmtId="183" fontId="3" fillId="9" borderId="9" xfId="1" applyNumberFormat="1" applyFont="1" applyFill="1" applyBorder="1">
      <alignment vertical="center"/>
    </xf>
    <xf numFmtId="176" fontId="3" fillId="9" borderId="8" xfId="1" applyNumberFormat="1" applyFont="1" applyFill="1" applyBorder="1">
      <alignment vertical="center"/>
    </xf>
    <xf numFmtId="9" fontId="55" fillId="2" borderId="0" xfId="2" applyFont="1" applyFill="1" applyBorder="1">
      <alignment vertical="center"/>
    </xf>
    <xf numFmtId="0" fontId="3" fillId="0" borderId="34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5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4" fillId="0" borderId="36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0" fontId="56" fillId="2" borderId="2" xfId="0" applyFont="1" applyFill="1" applyBorder="1" applyAlignment="1">
      <alignment horizontal="center" vertical="center"/>
    </xf>
    <xf numFmtId="0" fontId="56" fillId="2" borderId="3" xfId="0" applyFont="1" applyFill="1" applyBorder="1" applyAlignment="1">
      <alignment horizontal="center" vertical="center"/>
    </xf>
    <xf numFmtId="0" fontId="43" fillId="2" borderId="6" xfId="0" applyFont="1" applyFill="1" applyBorder="1">
      <alignment vertical="center"/>
    </xf>
    <xf numFmtId="0" fontId="43" fillId="2" borderId="7" xfId="0" applyFont="1" applyFill="1" applyBorder="1">
      <alignment vertical="center"/>
    </xf>
    <xf numFmtId="0" fontId="43" fillId="2" borderId="14" xfId="0" applyFont="1" applyFill="1" applyBorder="1">
      <alignment vertical="center"/>
    </xf>
    <xf numFmtId="0" fontId="43" fillId="2" borderId="15" xfId="0" applyFont="1" applyFill="1" applyBorder="1">
      <alignment vertical="center"/>
    </xf>
    <xf numFmtId="0" fontId="43" fillId="2" borderId="16" xfId="0" applyFont="1" applyFill="1" applyBorder="1">
      <alignment vertical="center"/>
    </xf>
    <xf numFmtId="0" fontId="43" fillId="2" borderId="1" xfId="0" applyFont="1" applyFill="1" applyBorder="1">
      <alignment vertical="center"/>
    </xf>
    <xf numFmtId="0" fontId="43" fillId="2" borderId="2" xfId="0" applyFont="1" applyFill="1" applyBorder="1">
      <alignment vertical="center"/>
    </xf>
    <xf numFmtId="0" fontId="43" fillId="2" borderId="3" xfId="0" applyFont="1" applyFill="1" applyBorder="1">
      <alignment vertical="center"/>
    </xf>
    <xf numFmtId="0" fontId="43" fillId="2" borderId="6" xfId="0" applyFont="1" applyFill="1" applyBorder="1" applyAlignment="1">
      <alignment vertical="center"/>
    </xf>
    <xf numFmtId="0" fontId="43" fillId="2" borderId="7" xfId="0" applyFont="1" applyFill="1" applyBorder="1" applyAlignment="1">
      <alignment vertical="center"/>
    </xf>
    <xf numFmtId="9" fontId="43" fillId="2" borderId="6" xfId="2" applyFont="1" applyFill="1" applyBorder="1">
      <alignment vertical="center"/>
    </xf>
    <xf numFmtId="9" fontId="43" fillId="2" borderId="0" xfId="2" applyFont="1" applyFill="1" applyBorder="1">
      <alignment vertical="center"/>
    </xf>
    <xf numFmtId="9" fontId="43" fillId="2" borderId="7" xfId="2" applyFont="1" applyFill="1" applyBorder="1">
      <alignment vertical="center"/>
    </xf>
    <xf numFmtId="178" fontId="43" fillId="2" borderId="6" xfId="0" applyNumberFormat="1" applyFont="1" applyFill="1" applyBorder="1">
      <alignment vertical="center"/>
    </xf>
    <xf numFmtId="178" fontId="43" fillId="2" borderId="0" xfId="0" applyNumberFormat="1" applyFont="1" applyFill="1" applyBorder="1">
      <alignment vertical="center"/>
    </xf>
    <xf numFmtId="178" fontId="43" fillId="2" borderId="7" xfId="0" applyNumberFormat="1" applyFont="1" applyFill="1" applyBorder="1">
      <alignment vertical="center"/>
    </xf>
    <xf numFmtId="178" fontId="43" fillId="2" borderId="6" xfId="2" applyNumberFormat="1" applyFont="1" applyFill="1" applyBorder="1">
      <alignment vertical="center"/>
    </xf>
    <xf numFmtId="178" fontId="43" fillId="2" borderId="0" xfId="2" applyNumberFormat="1" applyFont="1" applyFill="1" applyBorder="1">
      <alignment vertical="center"/>
    </xf>
    <xf numFmtId="178" fontId="43" fillId="2" borderId="7" xfId="2" applyNumberFormat="1" applyFont="1" applyFill="1" applyBorder="1">
      <alignment vertical="center"/>
    </xf>
    <xf numFmtId="180" fontId="43" fillId="2" borderId="6" xfId="2" applyNumberFormat="1" applyFont="1" applyFill="1" applyBorder="1">
      <alignment vertical="center"/>
    </xf>
    <xf numFmtId="180" fontId="43" fillId="2" borderId="0" xfId="2" applyNumberFormat="1" applyFont="1" applyFill="1" applyBorder="1">
      <alignment vertical="center"/>
    </xf>
    <xf numFmtId="180" fontId="43" fillId="2" borderId="7" xfId="2" applyNumberFormat="1" applyFont="1" applyFill="1" applyBorder="1">
      <alignment vertical="center"/>
    </xf>
    <xf numFmtId="9" fontId="43" fillId="2" borderId="6" xfId="2" applyFont="1" applyFill="1" applyBorder="1" applyAlignment="1">
      <alignment vertical="center"/>
    </xf>
    <xf numFmtId="9" fontId="43" fillId="2" borderId="0" xfId="2" applyFont="1" applyFill="1" applyBorder="1" applyAlignment="1">
      <alignment vertical="center"/>
    </xf>
    <xf numFmtId="9" fontId="43" fillId="2" borderId="7" xfId="2" applyFont="1" applyFill="1" applyBorder="1" applyAlignment="1">
      <alignment vertical="center"/>
    </xf>
    <xf numFmtId="181" fontId="43" fillId="2" borderId="6" xfId="0" applyNumberFormat="1" applyFont="1" applyFill="1" applyBorder="1">
      <alignment vertical="center"/>
    </xf>
    <xf numFmtId="181" fontId="43" fillId="2" borderId="0" xfId="0" applyNumberFormat="1" applyFont="1" applyFill="1" applyBorder="1">
      <alignment vertical="center"/>
    </xf>
    <xf numFmtId="181" fontId="43" fillId="2" borderId="7" xfId="0" applyNumberFormat="1" applyFont="1" applyFill="1" applyBorder="1">
      <alignment vertical="center"/>
    </xf>
    <xf numFmtId="179" fontId="43" fillId="2" borderId="6" xfId="2" applyNumberFormat="1" applyFont="1" applyFill="1" applyBorder="1">
      <alignment vertical="center"/>
    </xf>
    <xf numFmtId="179" fontId="43" fillId="2" borderId="0" xfId="2" applyNumberFormat="1" applyFont="1" applyFill="1" applyBorder="1">
      <alignment vertical="center"/>
    </xf>
    <xf numFmtId="179" fontId="43" fillId="2" borderId="7" xfId="2" applyNumberFormat="1" applyFont="1" applyFill="1" applyBorder="1">
      <alignment vertical="center"/>
    </xf>
    <xf numFmtId="9" fontId="43" fillId="2" borderId="14" xfId="2" applyFont="1" applyFill="1" applyBorder="1">
      <alignment vertical="center"/>
    </xf>
    <xf numFmtId="9" fontId="43" fillId="2" borderId="15" xfId="2" applyFont="1" applyFill="1" applyBorder="1">
      <alignment vertical="center"/>
    </xf>
    <xf numFmtId="9" fontId="43" fillId="2" borderId="16" xfId="2" applyFont="1" applyFill="1" applyBorder="1">
      <alignment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0" fontId="0" fillId="13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3" borderId="0" xfId="0" applyFill="1" applyAlignment="1">
      <alignment horizontal="center" vertical="center" wrapText="1"/>
    </xf>
    <xf numFmtId="9" fontId="0" fillId="0" borderId="0" xfId="2" applyFont="1">
      <alignment vertical="center"/>
    </xf>
    <xf numFmtId="9" fontId="0" fillId="23" borderId="0" xfId="2" applyFont="1" applyFill="1" applyAlignment="1">
      <alignment horizontal="center" vertical="center" wrapText="1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4" fontId="0" fillId="0" borderId="0" xfId="0" applyNumberFormat="1">
      <alignment vertical="center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178" fontId="0" fillId="0" borderId="0" xfId="1" applyNumberFormat="1" applyFont="1">
      <alignment vertical="center"/>
    </xf>
    <xf numFmtId="9" fontId="0" fillId="21" borderId="0" xfId="2" applyNumberFormat="1" applyFont="1" applyFill="1" applyAlignment="1">
      <alignment horizontal="center" vertical="center" wrapText="1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3" fontId="18" fillId="0" borderId="0" xfId="4" applyNumberFormat="1"/>
    <xf numFmtId="183" fontId="17" fillId="9" borderId="0" xfId="1" applyNumberFormat="1" applyFont="1" applyFill="1" applyAlignment="1">
      <alignment horizontal="center"/>
    </xf>
    <xf numFmtId="183" fontId="0" fillId="0" borderId="0" xfId="1" applyNumberFormat="1" applyFont="1">
      <alignment vertical="center"/>
    </xf>
    <xf numFmtId="183" fontId="18" fillId="0" borderId="0" xfId="1" applyNumberFormat="1" applyFont="1" applyAlignment="1"/>
    <xf numFmtId="21" fontId="0" fillId="0" borderId="0" xfId="0" applyNumberFormat="1" applyFont="1" applyFill="1">
      <alignment vertical="center"/>
    </xf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0" fillId="24" borderId="1" xfId="0" applyNumberFormat="1" applyFill="1" applyBorder="1" applyAlignment="1">
      <alignment horizontal="right" vertical="center"/>
    </xf>
    <xf numFmtId="0" fontId="3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17" fillId="0" borderId="0" xfId="4" applyFont="1" applyAlignment="1">
      <alignment horizont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29" xfId="0" applyFont="1" applyFill="1" applyBorder="1" applyAlignment="1">
      <alignment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5" xfId="0" applyNumberFormat="1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33" xfId="0" applyNumberFormat="1" applyFont="1" applyFill="1" applyBorder="1" applyAlignment="1">
      <alignment horizontal="left" vertical="center"/>
    </xf>
    <xf numFmtId="0" fontId="37" fillId="20" borderId="18" xfId="0" applyFont="1" applyFill="1" applyBorder="1" applyAlignment="1">
      <alignment horizontal="center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66FF33"/>
      <color rgb="FF0066FF"/>
      <color rgb="FF0000FF"/>
      <color rgb="FFFF5050"/>
      <color rgb="FFFF33CC"/>
      <color rgb="FFFF9900"/>
      <color rgb="FF660066"/>
      <color rgb="FFCC3300"/>
      <color rgb="FFFFFF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10442476252887"/>
          <c:y val="4.5933650863406575E-2"/>
          <c:w val="0.73818488939135862"/>
          <c:h val="0.88956875746568831"/>
        </c:manualLayout>
      </c:layout>
      <c:barChart>
        <c:barDir val="col"/>
        <c:grouping val="clustered"/>
        <c:varyColors val="0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9302</c:v>
                </c:pt>
                <c:pt idx="1">
                  <c:v>6858</c:v>
                </c:pt>
                <c:pt idx="2">
                  <c:v>9975</c:v>
                </c:pt>
                <c:pt idx="3">
                  <c:v>12088</c:v>
                </c:pt>
                <c:pt idx="4">
                  <c:v>16889</c:v>
                </c:pt>
                <c:pt idx="5">
                  <c:v>10567</c:v>
                </c:pt>
                <c:pt idx="6">
                  <c:v>13776</c:v>
                </c:pt>
                <c:pt idx="7">
                  <c:v>16086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19055152"/>
        <c:axId val="219055712"/>
      </c:barChart>
      <c:lineChart>
        <c:grouping val="standard"/>
        <c:varyColors val="0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0.48279939797892929</c:v>
                </c:pt>
                <c:pt idx="1">
                  <c:v>0.55599300087489067</c:v>
                </c:pt>
                <c:pt idx="2">
                  <c:v>0.58195488721804511</c:v>
                </c:pt>
                <c:pt idx="3">
                  <c:v>0.52490072799470544</c:v>
                </c:pt>
                <c:pt idx="4">
                  <c:v>0.50660193025045885</c:v>
                </c:pt>
                <c:pt idx="5">
                  <c:v>0.56714299233462662</c:v>
                </c:pt>
                <c:pt idx="6">
                  <c:v>0.57716318234610919</c:v>
                </c:pt>
                <c:pt idx="7">
                  <c:v>0.5510381698371255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營益率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0.409911846914642</c:v>
                </c:pt>
                <c:pt idx="1">
                  <c:v>0.46850393700787402</c:v>
                </c:pt>
                <c:pt idx="2">
                  <c:v>0.51368421052631574</c:v>
                </c:pt>
                <c:pt idx="3">
                  <c:v>0.44730311052283256</c:v>
                </c:pt>
                <c:pt idx="4">
                  <c:v>0.4335366214695956</c:v>
                </c:pt>
                <c:pt idx="5">
                  <c:v>0.49029999053657614</c:v>
                </c:pt>
                <c:pt idx="6">
                  <c:v>0.51582462253193961</c:v>
                </c:pt>
                <c:pt idx="7">
                  <c:v>0.46102200671391275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056832"/>
        <c:axId val="219056272"/>
      </c:lineChart>
      <c:catAx>
        <c:axId val="21905515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19055712"/>
        <c:crosses val="autoZero"/>
        <c:auto val="1"/>
        <c:lblAlgn val="ctr"/>
        <c:lblOffset val="100"/>
        <c:noMultiLvlLbl val="0"/>
      </c:catAx>
      <c:valAx>
        <c:axId val="219055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19055152"/>
        <c:crosses val="autoZero"/>
        <c:crossBetween val="between"/>
      </c:valAx>
      <c:valAx>
        <c:axId val="219056272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19056832"/>
        <c:crosses val="max"/>
        <c:crossBetween val="between"/>
      </c:valAx>
      <c:catAx>
        <c:axId val="219056832"/>
        <c:scaling>
          <c:orientation val="minMax"/>
        </c:scaling>
        <c:delete val="1"/>
        <c:axPos val="b"/>
        <c:majorTickMark val="out"/>
        <c:minorTickMark val="none"/>
        <c:tickLblPos val="none"/>
        <c:crossAx val="219056272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726473273603"/>
          <c:y val="6.1852578105156208E-2"/>
          <c:w val="0.73786606461091042"/>
          <c:h val="0.882298828500096"/>
        </c:manualLayout>
      </c:layout>
      <c:lineChart>
        <c:grouping val="standard"/>
        <c:varyColors val="0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75.057050160396614</c:v>
                </c:pt>
                <c:pt idx="1">
                  <c:v>75.057050160396614</c:v>
                </c:pt>
                <c:pt idx="2">
                  <c:v>58.006641604010021</c:v>
                </c:pt>
                <c:pt idx="3">
                  <c:v>71.366437789543355</c:v>
                </c:pt>
                <c:pt idx="4">
                  <c:v>64.897233406359163</c:v>
                </c:pt>
                <c:pt idx="5">
                  <c:v>93.050475537049309</c:v>
                </c:pt>
                <c:pt idx="6">
                  <c:v>62.41974266840883</c:v>
                </c:pt>
                <c:pt idx="7">
                  <c:v>67.172502486634343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80.911330049261082</c:v>
                </c:pt>
                <c:pt idx="1">
                  <c:v>80.911330049261082</c:v>
                </c:pt>
                <c:pt idx="2">
                  <c:v>55.734712230215827</c:v>
                </c:pt>
                <c:pt idx="3">
                  <c:v>43.908997910499743</c:v>
                </c:pt>
                <c:pt idx="4">
                  <c:v>36.56351254050162</c:v>
                </c:pt>
                <c:pt idx="5">
                  <c:v>83.758881722780941</c:v>
                </c:pt>
                <c:pt idx="6">
                  <c:v>72.498712446351931</c:v>
                </c:pt>
                <c:pt idx="7">
                  <c:v>55.941480891719742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54.225574712643677</c:v>
                </c:pt>
                <c:pt idx="1">
                  <c:v>54.225574712643677</c:v>
                </c:pt>
                <c:pt idx="2">
                  <c:v>29.946193045563547</c:v>
                </c:pt>
                <c:pt idx="3">
                  <c:v>45.31516628939579</c:v>
                </c:pt>
                <c:pt idx="4">
                  <c:v>49.704038161526462</c:v>
                </c:pt>
                <c:pt idx="5">
                  <c:v>82.88109422824661</c:v>
                </c:pt>
                <c:pt idx="6">
                  <c:v>53.716094420600861</c:v>
                </c:pt>
                <c:pt idx="7">
                  <c:v>47.457075602326228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841184"/>
        <c:axId val="253841744"/>
      </c:lineChart>
      <c:lineChart>
        <c:grouping val="standard"/>
        <c:varyColors val="0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906E-2"/>
                  <c:y val="-0.1162968910703458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842864"/>
        <c:axId val="253842304"/>
      </c:lineChart>
      <c:catAx>
        <c:axId val="25384118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53841744"/>
        <c:crosses val="autoZero"/>
        <c:auto val="1"/>
        <c:lblAlgn val="ctr"/>
        <c:lblOffset val="100"/>
        <c:noMultiLvlLbl val="0"/>
      </c:catAx>
      <c:valAx>
        <c:axId val="253841744"/>
        <c:scaling>
          <c:orientation val="minMax"/>
          <c:max val="112.66057064445917"/>
          <c:min val="22.95695443645084"/>
        </c:scaling>
        <c:delete val="0"/>
        <c:axPos val="l"/>
        <c:numFmt formatCode="#,##0_);[Red]\(#,##0\)" sourceLinked="0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3841184"/>
        <c:crosses val="autoZero"/>
        <c:crossBetween val="between"/>
      </c:valAx>
      <c:valAx>
        <c:axId val="2538423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53842864"/>
        <c:crosses val="max"/>
        <c:crossBetween val="between"/>
      </c:valAx>
      <c:catAx>
        <c:axId val="253842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5384230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22972256664963"/>
          <c:y val="3.6509876024920444E-2"/>
          <c:w val="0.73874256145235273"/>
          <c:h val="0.88576780752945183"/>
        </c:manualLayout>
      </c:layout>
      <c:barChart>
        <c:barDir val="col"/>
        <c:grouping val="clustered"/>
        <c:varyColors val="0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4591</c:v>
                </c:pt>
                <c:pt idx="1">
                  <c:v>4967</c:v>
                </c:pt>
                <c:pt idx="2">
                  <c:v>1774</c:v>
                </c:pt>
                <c:pt idx="3">
                  <c:v>5052</c:v>
                </c:pt>
                <c:pt idx="4">
                  <c:v>7895</c:v>
                </c:pt>
                <c:pt idx="5">
                  <c:v>8022</c:v>
                </c:pt>
                <c:pt idx="6">
                  <c:v>4286</c:v>
                </c:pt>
                <c:pt idx="7">
                  <c:v>6380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invertIfNegative val="0"/>
          <c:val>
            <c:numRef>
              <c:f>紅綠燈!$O$37:$V$37</c:f>
              <c:numCache>
                <c:formatCode>General</c:formatCode>
                <c:ptCount val="8"/>
                <c:pt idx="0">
                  <c:v>3803</c:v>
                </c:pt>
                <c:pt idx="1">
                  <c:v>4627</c:v>
                </c:pt>
                <c:pt idx="2">
                  <c:v>1399</c:v>
                </c:pt>
                <c:pt idx="3">
                  <c:v>4182</c:v>
                </c:pt>
                <c:pt idx="4">
                  <c:v>4270</c:v>
                </c:pt>
                <c:pt idx="5">
                  <c:v>7330</c:v>
                </c:pt>
                <c:pt idx="6">
                  <c:v>3412</c:v>
                </c:pt>
                <c:pt idx="7">
                  <c:v>5379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53847344"/>
        <c:axId val="253847904"/>
      </c:barChart>
      <c:lineChart>
        <c:grouping val="standard"/>
        <c:varyColors val="0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0.21152949707360025</c:v>
                </c:pt>
                <c:pt idx="1">
                  <c:v>0.18002009754662876</c:v>
                </c:pt>
                <c:pt idx="2">
                  <c:v>0.27504787604456826</c:v>
                </c:pt>
                <c:pt idx="3">
                  <c:v>0.23615995574347018</c:v>
                </c:pt>
                <c:pt idx="4">
                  <c:v>0.24330920169030695</c:v>
                </c:pt>
                <c:pt idx="5">
                  <c:v>0.26364457129543334</c:v>
                </c:pt>
                <c:pt idx="6">
                  <c:v>0.36356950554862433</c:v>
                </c:pt>
                <c:pt idx="7">
                  <c:v>0.26618537794940011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849024"/>
        <c:axId val="253848464"/>
      </c:lineChart>
      <c:catAx>
        <c:axId val="25384734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253847904"/>
        <c:crosses val="autoZero"/>
        <c:auto val="1"/>
        <c:lblAlgn val="ctr"/>
        <c:lblOffset val="100"/>
        <c:noMultiLvlLbl val="0"/>
      </c:catAx>
      <c:valAx>
        <c:axId val="253847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3847344"/>
        <c:crosses val="autoZero"/>
        <c:crossBetween val="between"/>
      </c:valAx>
      <c:valAx>
        <c:axId val="2538484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53849024"/>
        <c:crosses val="max"/>
        <c:crossBetween val="between"/>
      </c:valAx>
      <c:catAx>
        <c:axId val="253849024"/>
        <c:scaling>
          <c:orientation val="minMax"/>
        </c:scaling>
        <c:delete val="1"/>
        <c:axPos val="b"/>
        <c:majorTickMark val="out"/>
        <c:minorTickMark val="none"/>
        <c:tickLblPos val="none"/>
        <c:crossAx val="25384846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8122645950642"/>
          <c:y val="6.3932132322468985E-2"/>
          <c:w val="0.74659195050210236"/>
          <c:h val="0.87328441529948064"/>
        </c:manualLayout>
      </c:layout>
      <c:areaChart>
        <c:grouping val="standard"/>
        <c:varyColors val="0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bg1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395616"/>
        <c:axId val="253854064"/>
      </c:areaChart>
      <c:barChart>
        <c:barDir val="col"/>
        <c:grouping val="clustered"/>
        <c:varyColors val="0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1.3483113069016153</c:v>
                </c:pt>
                <c:pt idx="1">
                  <c:v>1.6556666666666666</c:v>
                </c:pt>
                <c:pt idx="2">
                  <c:v>0</c:v>
                </c:pt>
                <c:pt idx="3">
                  <c:v>0</c:v>
                </c:pt>
                <c:pt idx="4">
                  <c:v>1.0624411250168215</c:v>
                </c:pt>
                <c:pt idx="5">
                  <c:v>1.820285908781484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53852944"/>
        <c:axId val="253853504"/>
      </c:barChart>
      <c:lineChart>
        <c:grouping val="standard"/>
        <c:varyColors val="0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0.21085981367044135</c:v>
                </c:pt>
                <c:pt idx="2">
                  <c:v>0.21085981367044135</c:v>
                </c:pt>
                <c:pt idx="3">
                  <c:v>0.23168272894779998</c:v>
                </c:pt>
                <c:pt idx="4">
                  <c:v>0.25363046853593935</c:v>
                </c:pt>
                <c:pt idx="5">
                  <c:v>0.24809873487021411</c:v>
                </c:pt>
                <c:pt idx="6">
                  <c:v>0.26839826839826841</c:v>
                </c:pt>
                <c:pt idx="7">
                  <c:v>0.26045245077503143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395616"/>
        <c:axId val="253854064"/>
      </c:lineChart>
      <c:catAx>
        <c:axId val="25385294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53853504"/>
        <c:crosses val="autoZero"/>
        <c:auto val="1"/>
        <c:lblAlgn val="ctr"/>
        <c:lblOffset val="100"/>
        <c:noMultiLvlLbl val="0"/>
      </c:catAx>
      <c:valAx>
        <c:axId val="253853504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3852944"/>
        <c:crosses val="autoZero"/>
        <c:crossBetween val="between"/>
      </c:valAx>
      <c:valAx>
        <c:axId val="2538540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54395616"/>
        <c:crosses val="max"/>
        <c:crossBetween val="between"/>
      </c:valAx>
      <c:catAx>
        <c:axId val="254395616"/>
        <c:scaling>
          <c:orientation val="minMax"/>
        </c:scaling>
        <c:delete val="1"/>
        <c:axPos val="b"/>
        <c:majorTickMark val="out"/>
        <c:minorTickMark val="none"/>
        <c:tickLblPos val="none"/>
        <c:crossAx val="25385406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65110398395406"/>
          <c:y val="3.130194005401267E-2"/>
          <c:w val="0.75824839488840257"/>
          <c:h val="0.89449395045131552"/>
        </c:manualLayout>
      </c:layout>
      <c:areaChart>
        <c:grouping val="standard"/>
        <c:varyColors val="0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788</c:v>
                </c:pt>
                <c:pt idx="1">
                  <c:v>340</c:v>
                </c:pt>
                <c:pt idx="2">
                  <c:v>375</c:v>
                </c:pt>
                <c:pt idx="3">
                  <c:v>870</c:v>
                </c:pt>
                <c:pt idx="4">
                  <c:v>3625</c:v>
                </c:pt>
                <c:pt idx="5">
                  <c:v>692</c:v>
                </c:pt>
                <c:pt idx="6">
                  <c:v>874</c:v>
                </c:pt>
                <c:pt idx="7">
                  <c:v>1001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00656"/>
        <c:axId val="254401216"/>
      </c:areaChart>
      <c:barChart>
        <c:barDir val="col"/>
        <c:grouping val="clustered"/>
        <c:varyColors val="0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54400656"/>
        <c:axId val="254401216"/>
      </c:barChart>
      <c:lineChart>
        <c:grouping val="standard"/>
        <c:varyColors val="0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7.9193514861775102E-2</c:v>
                </c:pt>
                <c:pt idx="1">
                  <c:v>0.12939244663382593</c:v>
                </c:pt>
                <c:pt idx="2">
                  <c:v>9.5203836930455629E-2</c:v>
                </c:pt>
                <c:pt idx="3">
                  <c:v>7.2087759010969879E-2</c:v>
                </c:pt>
                <c:pt idx="4">
                  <c:v>5.4722188887555499E-2</c:v>
                </c:pt>
                <c:pt idx="5">
                  <c:v>9.7507651945780496E-2</c:v>
                </c:pt>
                <c:pt idx="6">
                  <c:v>7.8626609442060083E-2</c:v>
                </c:pt>
                <c:pt idx="7">
                  <c:v>6.4386596510661864E-2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8.8123462312681727E-2</c:v>
                </c:pt>
                <c:pt idx="1">
                  <c:v>8.8123462312681727E-2</c:v>
                </c:pt>
                <c:pt idx="2">
                  <c:v>4.1354166666666664E-2</c:v>
                </c:pt>
                <c:pt idx="3">
                  <c:v>3.6904974148689609E-2</c:v>
                </c:pt>
                <c:pt idx="4">
                  <c:v>3.4378769601930037E-2</c:v>
                </c:pt>
                <c:pt idx="5">
                  <c:v>5.8369323386991231E-2</c:v>
                </c:pt>
                <c:pt idx="6">
                  <c:v>3.5498372345372807E-2</c:v>
                </c:pt>
                <c:pt idx="7">
                  <c:v>3.0825323168710641E-2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402336"/>
        <c:axId val="254401776"/>
      </c:lineChart>
      <c:catAx>
        <c:axId val="25440065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254401216"/>
        <c:crosses val="autoZero"/>
        <c:auto val="1"/>
        <c:lblAlgn val="ctr"/>
        <c:lblOffset val="100"/>
        <c:noMultiLvlLbl val="0"/>
      </c:catAx>
      <c:valAx>
        <c:axId val="254401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4400656"/>
        <c:crosses val="autoZero"/>
        <c:crossBetween val="between"/>
      </c:valAx>
      <c:valAx>
        <c:axId val="2544017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254402336"/>
        <c:crosses val="max"/>
        <c:crossBetween val="between"/>
      </c:valAx>
      <c:catAx>
        <c:axId val="254402336"/>
        <c:scaling>
          <c:orientation val="minMax"/>
        </c:scaling>
        <c:delete val="1"/>
        <c:axPos val="b"/>
        <c:majorTickMark val="out"/>
        <c:minorTickMark val="none"/>
        <c:tickLblPos val="nextTo"/>
        <c:crossAx val="254401776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61331854539959"/>
          <c:y val="3.1014740639755668E-2"/>
          <c:w val="0.74877230585669585"/>
          <c:h val="0.889185785521031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dLbls>
            <c:dLbl>
              <c:idx val="3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25.38</c:v>
                </c:pt>
                <c:pt idx="1">
                  <c:v>22.36</c:v>
                </c:pt>
                <c:pt idx="2">
                  <c:v>27.75</c:v>
                </c:pt>
                <c:pt idx="3">
                  <c:v>39.4</c:v>
                </c:pt>
                <c:pt idx="4">
                  <c:v>55.4</c:v>
                </c:pt>
                <c:pt idx="5">
                  <c:v>32.86</c:v>
                </c:pt>
                <c:pt idx="6">
                  <c:v>35.96</c:v>
                </c:pt>
                <c:pt idx="7">
                  <c:v>61.17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invertIfNegative val="0"/>
          <c:val>
            <c:numRef>
              <c:f>紅綠燈!$O$47:$V$47</c:f>
              <c:numCache>
                <c:formatCode>_(* #,##0.00_);_(* \(#,##0.00\);_(* "-"??_);_(@_)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0"/>
        <c:overlap val="100"/>
        <c:axId val="254406256"/>
        <c:axId val="254406816"/>
      </c:barChart>
      <c:lineChart>
        <c:grouping val="standard"/>
        <c:varyColors val="0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0.92909356725146197</c:v>
                </c:pt>
                <c:pt idx="1">
                  <c:v>0.91097249787354695</c:v>
                </c:pt>
                <c:pt idx="2">
                  <c:v>1.0221424296828248</c:v>
                </c:pt>
                <c:pt idx="3">
                  <c:v>0.89579191517561296</c:v>
                </c:pt>
                <c:pt idx="4">
                  <c:v>0.87301776558960298</c:v>
                </c:pt>
                <c:pt idx="5">
                  <c:v>1.0194805194805194</c:v>
                </c:pt>
                <c:pt idx="6">
                  <c:v>1.019219736087206</c:v>
                </c:pt>
                <c:pt idx="7">
                  <c:v>0.80442564269443539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407936"/>
        <c:axId val="254407376"/>
      </c:lineChart>
      <c:catAx>
        <c:axId val="254406256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254406816"/>
        <c:crosses val="autoZero"/>
        <c:auto val="1"/>
        <c:lblAlgn val="ctr"/>
        <c:lblOffset val="100"/>
        <c:noMultiLvlLbl val="0"/>
      </c:catAx>
      <c:valAx>
        <c:axId val="254406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4406256"/>
        <c:crosses val="autoZero"/>
        <c:crossBetween val="between"/>
      </c:valAx>
      <c:valAx>
        <c:axId val="254407376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54407936"/>
        <c:crosses val="max"/>
        <c:crossBetween val="between"/>
      </c:valAx>
      <c:catAx>
        <c:axId val="254407936"/>
        <c:scaling>
          <c:orientation val="minMax"/>
        </c:scaling>
        <c:delete val="1"/>
        <c:axPos val="b"/>
        <c:majorTickMark val="out"/>
        <c:minorTickMark val="none"/>
        <c:tickLblPos val="none"/>
        <c:crossAx val="254407376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dobe 繁黑體 Std B" panose="020B0700000000000000" pitchFamily="34" charset="-120"/>
              <a:ea typeface="Adobe 繁黑體 Std B" panose="020B0700000000000000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4.7264904214774597E-2"/>
          <c:y val="0.13540719660572101"/>
          <c:w val="0.8839590800962156"/>
          <c:h val="0.75954052669684535"/>
        </c:manualLayout>
      </c:layout>
      <c:barChart>
        <c:barDir val="col"/>
        <c:grouping val="clustered"/>
        <c:varyColors val="0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val>
            <c:numRef>
              <c:f>紅綠燈!$O$3:$R$3</c:f>
              <c:numCache>
                <c:formatCode>General</c:formatCode>
                <c:ptCount val="4"/>
                <c:pt idx="0">
                  <c:v>9302</c:v>
                </c:pt>
                <c:pt idx="1">
                  <c:v>6858</c:v>
                </c:pt>
                <c:pt idx="2">
                  <c:v>9975</c:v>
                </c:pt>
                <c:pt idx="3">
                  <c:v>12088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val>
            <c:numRef>
              <c:f>紅綠燈!$S$3:$V$3</c:f>
              <c:numCache>
                <c:formatCode>General</c:formatCode>
                <c:ptCount val="4"/>
                <c:pt idx="0">
                  <c:v>16889</c:v>
                </c:pt>
                <c:pt idx="1">
                  <c:v>10567</c:v>
                </c:pt>
                <c:pt idx="2">
                  <c:v>13776</c:v>
                </c:pt>
                <c:pt idx="3">
                  <c:v>16086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254411296"/>
        <c:axId val="254872160"/>
      </c:barChart>
      <c:catAx>
        <c:axId val="254411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54872160"/>
        <c:crosses val="autoZero"/>
        <c:auto val="1"/>
        <c:lblAlgn val="ctr"/>
        <c:lblOffset val="100"/>
        <c:noMultiLvlLbl val="0"/>
      </c:catAx>
      <c:valAx>
        <c:axId val="2548721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441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dobe 繁黑體 Std B" panose="020B0700000000000000" pitchFamily="34" charset="-120"/>
              <a:ea typeface="Adobe 繁黑體 Std B" panose="020B0700000000000000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5.095454408527815E-2"/>
          <c:y val="0.15308626374846102"/>
          <c:w val="0.90049010022061926"/>
          <c:h val="0.70987395863660607"/>
        </c:manualLayout>
      </c:layout>
      <c:lineChart>
        <c:grouping val="standard"/>
        <c:varyColors val="0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#,##0_);[Red]\(#,##0\)</c:formatCode>
                <c:ptCount val="4"/>
                <c:pt idx="0">
                  <c:v>155.96838020965771</c:v>
                </c:pt>
                <c:pt idx="1">
                  <c:v>155.96838020965771</c:v>
                </c:pt>
                <c:pt idx="2">
                  <c:v>113.74135383422585</c:v>
                </c:pt>
                <c:pt idx="3">
                  <c:v>115.27543570004309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#,##0_);[Red]\(#,##0\)</c:formatCode>
                <c:ptCount val="4"/>
                <c:pt idx="0">
                  <c:v>101.46074594686078</c:v>
                </c:pt>
                <c:pt idx="1">
                  <c:v>176.80935725983025</c:v>
                </c:pt>
                <c:pt idx="2">
                  <c:v>134.91845511476077</c:v>
                </c:pt>
                <c:pt idx="3">
                  <c:v>123.11398337835408</c:v>
                </c:pt>
              </c:numCache>
            </c:numRef>
          </c:val>
          <c:smooth val="1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4874960"/>
        <c:axId val="254875520"/>
      </c:lineChart>
      <c:catAx>
        <c:axId val="254874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54875520"/>
        <c:crosses val="autoZero"/>
        <c:auto val="1"/>
        <c:lblAlgn val="ctr"/>
        <c:lblOffset val="100"/>
        <c:noMultiLvlLbl val="0"/>
      </c:catAx>
      <c:valAx>
        <c:axId val="254875520"/>
        <c:scaling>
          <c:orientation val="minMax"/>
          <c:max val="213.17122871179629"/>
          <c:min val="80.168596757488629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25487496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394534016581259E-2"/>
          <c:y val="5.4652457235949387E-2"/>
          <c:w val="0.83187613799423621"/>
          <c:h val="0.822142727848674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PK!$A$26:$B$26</c:f>
              <c:strCache>
                <c:ptCount val="2"/>
                <c:pt idx="0">
                  <c:v>2454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PK!$C$26:$J$26</c:f>
              <c:numCache>
                <c:formatCode>General</c:formatCode>
                <c:ptCount val="8"/>
                <c:pt idx="0">
                  <c:v>9971</c:v>
                </c:pt>
                <c:pt idx="1">
                  <c:v>16624</c:v>
                </c:pt>
                <c:pt idx="2">
                  <c:v>9140</c:v>
                </c:pt>
                <c:pt idx="3">
                  <c:v>13044</c:v>
                </c:pt>
                <c:pt idx="4">
                  <c:v>11742</c:v>
                </c:pt>
                <c:pt idx="5">
                  <c:v>10404</c:v>
                </c:pt>
                <c:pt idx="6">
                  <c:v>6000</c:v>
                </c:pt>
                <c:pt idx="7">
                  <c:v>-1446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2"/>
                <c:pt idx="0">
                  <c:v>3034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PK!$C$27:$J$27</c:f>
              <c:numCache>
                <c:formatCode>General</c:formatCode>
                <c:ptCount val="8"/>
                <c:pt idx="0">
                  <c:v>862</c:v>
                </c:pt>
                <c:pt idx="1">
                  <c:v>1987</c:v>
                </c:pt>
                <c:pt idx="2">
                  <c:v>1446</c:v>
                </c:pt>
                <c:pt idx="3">
                  <c:v>-454</c:v>
                </c:pt>
                <c:pt idx="4">
                  <c:v>1718</c:v>
                </c:pt>
                <c:pt idx="5">
                  <c:v>3038</c:v>
                </c:pt>
                <c:pt idx="6">
                  <c:v>2669</c:v>
                </c:pt>
                <c:pt idx="7">
                  <c:v>566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2"/>
                <c:pt idx="0">
                  <c:v>2379</c:v>
                </c:pt>
                <c:pt idx="1">
                  <c:v>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PK!$C$28:$J$28</c:f>
              <c:numCache>
                <c:formatCode>General</c:formatCode>
                <c:ptCount val="8"/>
                <c:pt idx="0">
                  <c:v>1127</c:v>
                </c:pt>
                <c:pt idx="1">
                  <c:v>1486</c:v>
                </c:pt>
                <c:pt idx="2">
                  <c:v>1221</c:v>
                </c:pt>
                <c:pt idx="3">
                  <c:v>1576</c:v>
                </c:pt>
                <c:pt idx="4">
                  <c:v>1573</c:v>
                </c:pt>
                <c:pt idx="5">
                  <c:v>1520</c:v>
                </c:pt>
                <c:pt idx="6">
                  <c:v>-137</c:v>
                </c:pt>
                <c:pt idx="7">
                  <c:v>233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57835072"/>
        <c:axId val="257835632"/>
      </c:barChart>
      <c:lineChart>
        <c:grouping val="standard"/>
        <c:varyColors val="0"/>
        <c:ser>
          <c:idx val="3"/>
          <c:order val="3"/>
          <c:tx>
            <c:strRef>
              <c:f>PK!$A$56:$B$56</c:f>
              <c:strCache>
                <c:ptCount val="2"/>
                <c:pt idx="0">
                  <c:v>2454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0.2229056025525305</c:v>
                </c:pt>
                <c:pt idx="1">
                  <c:v>0.24467883558810224</c:v>
                </c:pt>
                <c:pt idx="2">
                  <c:v>0.23495777827649619</c:v>
                </c:pt>
                <c:pt idx="3">
                  <c:v>0.33823570279475201</c:v>
                </c:pt>
                <c:pt idx="4">
                  <c:v>0.31068123420167543</c:v>
                </c:pt>
                <c:pt idx="5">
                  <c:v>0.29480888245865361</c:v>
                </c:pt>
                <c:pt idx="6">
                  <c:v>0.30292386088161083</c:v>
                </c:pt>
                <c:pt idx="7">
                  <c:v>0.39293398500087517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2"/>
                <c:pt idx="0">
                  <c:v>3034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0.39631645471664045</c:v>
                </c:pt>
                <c:pt idx="1">
                  <c:v>0.36870448251102678</c:v>
                </c:pt>
                <c:pt idx="2">
                  <c:v>0.38326556815750051</c:v>
                </c:pt>
                <c:pt idx="3">
                  <c:v>0.46826466364740971</c:v>
                </c:pt>
                <c:pt idx="4">
                  <c:v>0.43094860026537313</c:v>
                </c:pt>
                <c:pt idx="5">
                  <c:v>0.38544773682262523</c:v>
                </c:pt>
                <c:pt idx="6">
                  <c:v>0.35699745001821415</c:v>
                </c:pt>
                <c:pt idx="7">
                  <c:v>0.42782122653203813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2"/>
                <c:pt idx="0">
                  <c:v>2379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0.4472226336838987</c:v>
                </c:pt>
                <c:pt idx="1">
                  <c:v>0.42793518708429779</c:v>
                </c:pt>
                <c:pt idx="2">
                  <c:v>0.43178130414455046</c:v>
                </c:pt>
                <c:pt idx="3">
                  <c:v>0.50185580036326305</c:v>
                </c:pt>
                <c:pt idx="4">
                  <c:v>0.51071926631526698</c:v>
                </c:pt>
                <c:pt idx="5">
                  <c:v>0.46178940961655507</c:v>
                </c:pt>
                <c:pt idx="6">
                  <c:v>0.50270591341077087</c:v>
                </c:pt>
                <c:pt idx="7">
                  <c:v>0.57279660282520151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7836752"/>
        <c:axId val="257836192"/>
      </c:lineChart>
      <c:dateAx>
        <c:axId val="2578350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7835632"/>
        <c:crosses val="autoZero"/>
        <c:auto val="0"/>
        <c:lblOffset val="100"/>
        <c:baseTimeUnit val="days"/>
      </c:dateAx>
      <c:valAx>
        <c:axId val="257835632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7835072"/>
        <c:crosses val="autoZero"/>
        <c:crossBetween val="between"/>
      </c:valAx>
      <c:valAx>
        <c:axId val="2578361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7836752"/>
        <c:crosses val="max"/>
        <c:crossBetween val="between"/>
      </c:valAx>
      <c:dateAx>
        <c:axId val="257836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7836192"/>
        <c:crosses val="autoZero"/>
        <c:auto val="0"/>
        <c:lblOffset val="100"/>
        <c:baseTimeUnit val="days"/>
      </c:dateAx>
      <c:spPr>
        <a:noFill/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052E-2"/>
          <c:y val="7.6339457567804025E-2"/>
          <c:w val="0.91226332455746539"/>
          <c:h val="0.76162697844589311"/>
        </c:manualLayout>
      </c:layout>
      <c:lineChart>
        <c:grouping val="standard"/>
        <c:varyColors val="0"/>
        <c:ser>
          <c:idx val="0"/>
          <c:order val="0"/>
          <c:tx>
            <c:strRef>
              <c:f>PK!$A$50:$B$50</c:f>
              <c:strCache>
                <c:ptCount val="2"/>
                <c:pt idx="0">
                  <c:v>2454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21.423045756068145</c:v>
                </c:pt>
                <c:pt idx="1">
                  <c:v>21.423045756068145</c:v>
                </c:pt>
                <c:pt idx="2">
                  <c:v>21.024888599065317</c:v>
                </c:pt>
                <c:pt idx="3">
                  <c:v>22.381391664973307</c:v>
                </c:pt>
                <c:pt idx="4">
                  <c:v>22.546555279092431</c:v>
                </c:pt>
                <c:pt idx="5">
                  <c:v>23.012844210412421</c:v>
                </c:pt>
                <c:pt idx="6">
                  <c:v>24.857831433019186</c:v>
                </c:pt>
                <c:pt idx="7">
                  <c:v>24.82491125329479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2"/>
                <c:pt idx="0">
                  <c:v>3034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92.617459943449575</c:v>
                </c:pt>
                <c:pt idx="1">
                  <c:v>92.617459943449575</c:v>
                </c:pt>
                <c:pt idx="2">
                  <c:v>93.735190691966395</c:v>
                </c:pt>
                <c:pt idx="3">
                  <c:v>81.366850110830839</c:v>
                </c:pt>
                <c:pt idx="4">
                  <c:v>80.561772019369187</c:v>
                </c:pt>
                <c:pt idx="5">
                  <c:v>86.783829174664106</c:v>
                </c:pt>
                <c:pt idx="6">
                  <c:v>94.013082768939981</c:v>
                </c:pt>
                <c:pt idx="7">
                  <c:v>84.777667389210023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2"/>
                <c:pt idx="0">
                  <c:v>2379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48.792448308914146</c:v>
                </c:pt>
                <c:pt idx="1">
                  <c:v>48.792448308914146</c:v>
                </c:pt>
                <c:pt idx="2">
                  <c:v>46.963981026481022</c:v>
                </c:pt>
                <c:pt idx="3">
                  <c:v>43.63614551083591</c:v>
                </c:pt>
                <c:pt idx="4">
                  <c:v>48.461445783132525</c:v>
                </c:pt>
                <c:pt idx="5">
                  <c:v>49.745850965353085</c:v>
                </c:pt>
                <c:pt idx="6">
                  <c:v>41.280637254901961</c:v>
                </c:pt>
                <c:pt idx="7">
                  <c:v>39.618687045327363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840672"/>
        <c:axId val="257841232"/>
      </c:lineChart>
      <c:catAx>
        <c:axId val="257840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7841232"/>
        <c:crosses val="autoZero"/>
        <c:auto val="1"/>
        <c:lblAlgn val="ctr"/>
        <c:lblOffset val="100"/>
        <c:noMultiLvlLbl val="0"/>
      </c:catAx>
      <c:valAx>
        <c:axId val="257841232"/>
        <c:scaling>
          <c:orientation val="minMax"/>
          <c:max val="98.713736907386988"/>
          <c:min val="19.973644169112049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784067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136E-2"/>
          <c:y val="7.6339457567804025E-2"/>
          <c:w val="0.91226344792658953"/>
          <c:h val="0.76162697844589355"/>
        </c:manualLayout>
      </c:layout>
      <c:lineChart>
        <c:grouping val="standard"/>
        <c:varyColors val="0"/>
        <c:ser>
          <c:idx val="0"/>
          <c:order val="0"/>
          <c:tx>
            <c:strRef>
              <c:f>PK!$A$53:$B$53</c:f>
              <c:strCache>
                <c:ptCount val="2"/>
                <c:pt idx="0">
                  <c:v>2454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47.054476351351354</c:v>
                </c:pt>
                <c:pt idx="1">
                  <c:v>47.054476351351354</c:v>
                </c:pt>
                <c:pt idx="2">
                  <c:v>49.878779595441351</c:v>
                </c:pt>
                <c:pt idx="3">
                  <c:v>60.103239774433341</c:v>
                </c:pt>
                <c:pt idx="4">
                  <c:v>68.33294856009303</c:v>
                </c:pt>
                <c:pt idx="5">
                  <c:v>73.973885444090342</c:v>
                </c:pt>
                <c:pt idx="6">
                  <c:v>91.887780573528246</c:v>
                </c:pt>
                <c:pt idx="7">
                  <c:v>110.69010825998114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140736"/>
        <c:axId val="258141296"/>
      </c:lineChart>
      <c:lineChart>
        <c:grouping val="standard"/>
        <c:varyColors val="0"/>
        <c:ser>
          <c:idx val="1"/>
          <c:order val="1"/>
          <c:tx>
            <c:strRef>
              <c:f>PK!$A$54:$B$54</c:f>
              <c:strCache>
                <c:ptCount val="2"/>
                <c:pt idx="0">
                  <c:v>3034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56.753048780487802</c:v>
                </c:pt>
                <c:pt idx="1">
                  <c:v>56.753048780487802</c:v>
                </c:pt>
                <c:pt idx="2">
                  <c:v>58.865947257937549</c:v>
                </c:pt>
                <c:pt idx="3">
                  <c:v>58.212559088955736</c:v>
                </c:pt>
                <c:pt idx="4">
                  <c:v>54.514935598794189</c:v>
                </c:pt>
                <c:pt idx="5">
                  <c:v>54.216117385669321</c:v>
                </c:pt>
                <c:pt idx="6">
                  <c:v>66.612499999999997</c:v>
                </c:pt>
                <c:pt idx="7">
                  <c:v>67.59504351221689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2"/>
                <c:pt idx="0">
                  <c:v>2379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66.190690150970525</c:v>
                </c:pt>
                <c:pt idx="1">
                  <c:v>66.190690150970525</c:v>
                </c:pt>
                <c:pt idx="2">
                  <c:v>63.628738147337707</c:v>
                </c:pt>
                <c:pt idx="3">
                  <c:v>59.59643900247135</c:v>
                </c:pt>
                <c:pt idx="4">
                  <c:v>56.926605504587151</c:v>
                </c:pt>
                <c:pt idx="5">
                  <c:v>71.780124971336861</c:v>
                </c:pt>
                <c:pt idx="6">
                  <c:v>89.549621303197881</c:v>
                </c:pt>
                <c:pt idx="7">
                  <c:v>102.79037676985841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142416"/>
        <c:axId val="258141856"/>
      </c:lineChart>
      <c:catAx>
        <c:axId val="258140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8141296"/>
        <c:crosses val="autoZero"/>
        <c:auto val="1"/>
        <c:lblAlgn val="ctr"/>
        <c:lblOffset val="100"/>
        <c:noMultiLvlLbl val="0"/>
      </c:catAx>
      <c:valAx>
        <c:axId val="258141296"/>
        <c:scaling>
          <c:orientation val="minMax"/>
          <c:max val="116.22461367298021"/>
          <c:min val="0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8140736"/>
        <c:crosses val="autoZero"/>
        <c:crossBetween val="between"/>
      </c:valAx>
      <c:valAx>
        <c:axId val="258141856"/>
        <c:scaling>
          <c:orientation val="minMax"/>
          <c:max val="207.28196625636673"/>
          <c:min val="42.642944634982847"/>
        </c:scaling>
        <c:delete val="1"/>
        <c:axPos val="r"/>
        <c:numFmt formatCode="_(* #,##0_);_(* \(#,##0\);_(* &quot;-&quot;??_);_(@_)" sourceLinked="1"/>
        <c:majorTickMark val="in"/>
        <c:minorTickMark val="none"/>
        <c:tickLblPos val="none"/>
        <c:crossAx val="258142416"/>
        <c:crosses val="max"/>
        <c:crossBetween val="between"/>
      </c:valAx>
      <c:catAx>
        <c:axId val="258142416"/>
        <c:scaling>
          <c:orientation val="minMax"/>
        </c:scaling>
        <c:delete val="1"/>
        <c:axPos val="b"/>
        <c:majorTickMark val="out"/>
        <c:minorTickMark val="none"/>
        <c:tickLblPos val="none"/>
        <c:crossAx val="25814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PK!$A$11:$B$11</c:f>
              <c:strCache>
                <c:ptCount val="2"/>
                <c:pt idx="0">
                  <c:v>2454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6.28</c:v>
                </c:pt>
                <c:pt idx="1">
                  <c:v>6.43</c:v>
                </c:pt>
                <c:pt idx="2">
                  <c:v>6.82</c:v>
                </c:pt>
                <c:pt idx="3">
                  <c:v>8.0299999999999994</c:v>
                </c:pt>
                <c:pt idx="4">
                  <c:v>8.51</c:v>
                </c:pt>
                <c:pt idx="5">
                  <c:v>6.73</c:v>
                </c:pt>
                <c:pt idx="6">
                  <c:v>4.62</c:v>
                </c:pt>
                <c:pt idx="7">
                  <c:v>4.0599999999999996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2"/>
                <c:pt idx="0">
                  <c:v>3034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2.04</c:v>
                </c:pt>
                <c:pt idx="1">
                  <c:v>1.96</c:v>
                </c:pt>
                <c:pt idx="2">
                  <c:v>2.08</c:v>
                </c:pt>
                <c:pt idx="3">
                  <c:v>2.9</c:v>
                </c:pt>
                <c:pt idx="4">
                  <c:v>3.43</c:v>
                </c:pt>
                <c:pt idx="5">
                  <c:v>3.43</c:v>
                </c:pt>
                <c:pt idx="6">
                  <c:v>2.79</c:v>
                </c:pt>
                <c:pt idx="7">
                  <c:v>2.44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2"/>
                <c:pt idx="0">
                  <c:v>2379</c:v>
                </c:pt>
                <c:pt idx="1">
                  <c:v>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1.64</c:v>
                </c:pt>
                <c:pt idx="1">
                  <c:v>1.39</c:v>
                </c:pt>
                <c:pt idx="2">
                  <c:v>1.62</c:v>
                </c:pt>
                <c:pt idx="3">
                  <c:v>2.0099999999999998</c:v>
                </c:pt>
                <c:pt idx="4">
                  <c:v>2.98</c:v>
                </c:pt>
                <c:pt idx="5">
                  <c:v>1.1000000000000001</c:v>
                </c:pt>
                <c:pt idx="6">
                  <c:v>1.47</c:v>
                </c:pt>
                <c:pt idx="7">
                  <c:v>0.72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58146336"/>
        <c:axId val="258146896"/>
      </c:barChart>
      <c:catAx>
        <c:axId val="2581463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8146896"/>
        <c:crosses val="autoZero"/>
        <c:auto val="1"/>
        <c:lblAlgn val="ctr"/>
        <c:lblOffset val="100"/>
        <c:noMultiLvlLbl val="0"/>
      </c:catAx>
      <c:valAx>
        <c:axId val="258146896"/>
        <c:scaling>
          <c:orientation val="minMax"/>
        </c:scaling>
        <c:delete val="0"/>
        <c:axPos val="l"/>
        <c:numFmt formatCode="#,##0_);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814633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59951979092E-2"/>
          <c:y val="0.14928788222459846"/>
          <c:w val="0.8073008441512376"/>
          <c:h val="0.775366299212598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PK!$A$74:$B$74</c:f>
              <c:strCache>
                <c:ptCount val="2"/>
                <c:pt idx="0">
                  <c:v>2454</c:v>
                </c:pt>
                <c:pt idx="1">
                  <c:v>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PK!$C$74:$J$74</c:f>
              <c:numCache>
                <c:formatCode>General</c:formatCode>
                <c:ptCount val="8"/>
                <c:pt idx="0">
                  <c:v>0.3</c:v>
                </c:pt>
                <c:pt idx="1">
                  <c:v>0.28000000000000003</c:v>
                </c:pt>
                <c:pt idx="2">
                  <c:v>0.38</c:v>
                </c:pt>
                <c:pt idx="3">
                  <c:v>0.44</c:v>
                </c:pt>
                <c:pt idx="4">
                  <c:v>1.1399999999999999</c:v>
                </c:pt>
                <c:pt idx="5">
                  <c:v>4.3</c:v>
                </c:pt>
                <c:pt idx="6">
                  <c:v>2.87</c:v>
                </c:pt>
                <c:pt idx="7">
                  <c:v>0.93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2"/>
                <c:pt idx="0">
                  <c:v>3034</c:v>
                </c:pt>
                <c:pt idx="1">
                  <c:v>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PK!$C$75:$J$75</c:f>
              <c:numCache>
                <c:formatCode>General</c:formatCode>
                <c:ptCount val="8"/>
                <c:pt idx="0">
                  <c:v>0.11</c:v>
                </c:pt>
                <c:pt idx="1">
                  <c:v>0.11</c:v>
                </c:pt>
                <c:pt idx="2">
                  <c:v>0.03</c:v>
                </c:pt>
                <c:pt idx="3">
                  <c:v>0.04</c:v>
                </c:pt>
                <c:pt idx="4">
                  <c:v>0.12</c:v>
                </c:pt>
                <c:pt idx="5">
                  <c:v>0.09</c:v>
                </c:pt>
                <c:pt idx="6">
                  <c:v>0.05</c:v>
                </c:pt>
                <c:pt idx="7">
                  <c:v>1.07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2"/>
                <c:pt idx="0">
                  <c:v>2379</c:v>
                </c:pt>
                <c:pt idx="1">
                  <c:v>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PK!$C$76:$J$76</c:f>
              <c:numCache>
                <c:formatCode>General</c:formatCode>
                <c:ptCount val="8"/>
                <c:pt idx="0">
                  <c:v>0.09</c:v>
                </c:pt>
                <c:pt idx="1">
                  <c:v>0.28000000000000003</c:v>
                </c:pt>
                <c:pt idx="2">
                  <c:v>1.45</c:v>
                </c:pt>
                <c:pt idx="3">
                  <c:v>0.1</c:v>
                </c:pt>
                <c:pt idx="4">
                  <c:v>0.08</c:v>
                </c:pt>
                <c:pt idx="5">
                  <c:v>0.01</c:v>
                </c:pt>
                <c:pt idx="6">
                  <c:v>0.21</c:v>
                </c:pt>
                <c:pt idx="7">
                  <c:v>0.31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58152496"/>
        <c:axId val="258153056"/>
      </c:barChart>
      <c:lineChart>
        <c:grouping val="standard"/>
        <c:varyColors val="0"/>
        <c:ser>
          <c:idx val="0"/>
          <c:order val="3"/>
          <c:tx>
            <c:strRef>
              <c:f>PK!$A$62:$B$62</c:f>
              <c:strCache>
                <c:ptCount val="2"/>
                <c:pt idx="0">
                  <c:v>2454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1.3765034069602597E-2</c:v>
                </c:pt>
                <c:pt idx="1">
                  <c:v>1.2587930396149574E-2</c:v>
                </c:pt>
                <c:pt idx="2">
                  <c:v>1.2784389587451112E-2</c:v>
                </c:pt>
                <c:pt idx="3">
                  <c:v>1.1131861291149438E-2</c:v>
                </c:pt>
                <c:pt idx="4">
                  <c:v>1.2004925097475888E-2</c:v>
                </c:pt>
                <c:pt idx="5">
                  <c:v>1.2262713038658722E-2</c:v>
                </c:pt>
                <c:pt idx="6">
                  <c:v>1.6534867002156721E-2</c:v>
                </c:pt>
                <c:pt idx="7">
                  <c:v>1.6582835586293618E-2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2"/>
                <c:pt idx="0">
                  <c:v>3034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8.6659663865546223E-3</c:v>
                </c:pt>
                <c:pt idx="1">
                  <c:v>8.5625324338349761E-3</c:v>
                </c:pt>
                <c:pt idx="2">
                  <c:v>8.9215429021254258E-3</c:v>
                </c:pt>
                <c:pt idx="3">
                  <c:v>7.0906746884400514E-3</c:v>
                </c:pt>
                <c:pt idx="4">
                  <c:v>5.9376998264364664E-3</c:v>
                </c:pt>
                <c:pt idx="5">
                  <c:v>6.017404184410294E-3</c:v>
                </c:pt>
                <c:pt idx="6">
                  <c:v>7.1111111111111115E-3</c:v>
                </c:pt>
                <c:pt idx="7">
                  <c:v>6.9173267879058349E-3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2"/>
                <c:pt idx="0">
                  <c:v>2379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3.403330919623461E-2</c:v>
                </c:pt>
                <c:pt idx="1">
                  <c:v>3.4267912772585667E-2</c:v>
                </c:pt>
                <c:pt idx="2">
                  <c:v>3.5983467055677121E-2</c:v>
                </c:pt>
                <c:pt idx="3">
                  <c:v>3.280161761401932E-2</c:v>
                </c:pt>
                <c:pt idx="4">
                  <c:v>3.0509921058246212E-2</c:v>
                </c:pt>
                <c:pt idx="5">
                  <c:v>3.0956202705801423E-2</c:v>
                </c:pt>
                <c:pt idx="6">
                  <c:v>3.2700168309689831E-2</c:v>
                </c:pt>
                <c:pt idx="7">
                  <c:v>3.4557235421166309E-2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154176"/>
        <c:axId val="258153616"/>
      </c:lineChart>
      <c:catAx>
        <c:axId val="2581524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8153056"/>
        <c:crosses val="autoZero"/>
        <c:auto val="1"/>
        <c:lblAlgn val="ctr"/>
        <c:lblOffset val="100"/>
        <c:noMultiLvlLbl val="0"/>
      </c:catAx>
      <c:valAx>
        <c:axId val="258153056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8152496"/>
        <c:crosses val="autoZero"/>
        <c:crossBetween val="between"/>
      </c:valAx>
      <c:valAx>
        <c:axId val="2581536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258154176"/>
        <c:crosses val="max"/>
        <c:crossBetween val="between"/>
      </c:valAx>
      <c:catAx>
        <c:axId val="25815417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153616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15043250801E-2"/>
          <c:y val="0.16182292279821969"/>
          <c:w val="0.8073008441512376"/>
          <c:h val="0.680526831822518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PK!$A$2:$B$2</c:f>
              <c:strCache>
                <c:ptCount val="2"/>
                <c:pt idx="0">
                  <c:v>2454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PK!$C$2:$J$2</c:f>
              <c:numCache>
                <c:formatCode>General</c:formatCode>
                <c:ptCount val="8"/>
                <c:pt idx="0">
                  <c:v>39008</c:v>
                </c:pt>
                <c:pt idx="1">
                  <c:v>39798</c:v>
                </c:pt>
                <c:pt idx="2">
                  <c:v>46005</c:v>
                </c:pt>
                <c:pt idx="3">
                  <c:v>54133</c:v>
                </c:pt>
                <c:pt idx="4">
                  <c:v>57472</c:v>
                </c:pt>
                <c:pt idx="5">
                  <c:v>55453</c:v>
                </c:pt>
                <c:pt idx="6">
                  <c:v>47536</c:v>
                </c:pt>
                <c:pt idx="7">
                  <c:v>47044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2"/>
                <c:pt idx="0">
                  <c:v>3034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PK!$C$3:$J$3</c:f>
              <c:numCache>
                <c:formatCode>General</c:formatCode>
                <c:ptCount val="8"/>
                <c:pt idx="0">
                  <c:v>10574</c:v>
                </c:pt>
                <c:pt idx="1">
                  <c:v>10610</c:v>
                </c:pt>
                <c:pt idx="2">
                  <c:v>10593</c:v>
                </c:pt>
                <c:pt idx="3">
                  <c:v>13083</c:v>
                </c:pt>
                <c:pt idx="4">
                  <c:v>15282</c:v>
                </c:pt>
                <c:pt idx="5">
                  <c:v>15109</c:v>
                </c:pt>
                <c:pt idx="6">
                  <c:v>12698</c:v>
                </c:pt>
                <c:pt idx="7">
                  <c:v>12456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2"/>
                <c:pt idx="0">
                  <c:v>2379</c:v>
                </c:pt>
                <c:pt idx="1">
                  <c:v>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PK!$C$4:$J$4</c:f>
              <c:numCache>
                <c:formatCode>General</c:formatCode>
                <c:ptCount val="8"/>
                <c:pt idx="0">
                  <c:v>7177</c:v>
                </c:pt>
                <c:pt idx="1">
                  <c:v>7303</c:v>
                </c:pt>
                <c:pt idx="2">
                  <c:v>7326</c:v>
                </c:pt>
                <c:pt idx="3">
                  <c:v>8075</c:v>
                </c:pt>
                <c:pt idx="4">
                  <c:v>8300</c:v>
                </c:pt>
                <c:pt idx="5">
                  <c:v>7562</c:v>
                </c:pt>
                <c:pt idx="6">
                  <c:v>7446</c:v>
                </c:pt>
                <c:pt idx="7">
                  <c:v>7148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58159776"/>
        <c:axId val="258160336"/>
      </c:barChart>
      <c:lineChart>
        <c:grouping val="standard"/>
        <c:varyColors val="0"/>
        <c:ser>
          <c:idx val="3"/>
          <c:order val="3"/>
          <c:tx>
            <c:strRef>
              <c:f>PK!$A$47:$B$47</c:f>
              <c:strCache>
                <c:ptCount val="2"/>
                <c:pt idx="0">
                  <c:v>2454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0.43942268252666122</c:v>
                </c:pt>
                <c:pt idx="1">
                  <c:v>0.45705814362530778</c:v>
                </c:pt>
                <c:pt idx="2">
                  <c:v>0.48312139984784264</c:v>
                </c:pt>
                <c:pt idx="3">
                  <c:v>0.49552029261263925</c:v>
                </c:pt>
                <c:pt idx="4">
                  <c:v>0.4912653118040089</c:v>
                </c:pt>
                <c:pt idx="5">
                  <c:v>0.47941500009016647</c:v>
                </c:pt>
                <c:pt idx="6">
                  <c:v>0.47328340626051835</c:v>
                </c:pt>
                <c:pt idx="7">
                  <c:v>0.45905960377518917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2"/>
                <c:pt idx="0">
                  <c:v>3034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0.27974276527331188</c:v>
                </c:pt>
                <c:pt idx="1">
                  <c:v>0.27351555136663525</c:v>
                </c:pt>
                <c:pt idx="2">
                  <c:v>0.28046823373926177</c:v>
                </c:pt>
                <c:pt idx="3">
                  <c:v>0.28854238324543302</c:v>
                </c:pt>
                <c:pt idx="4">
                  <c:v>0.28366705928543384</c:v>
                </c:pt>
                <c:pt idx="5">
                  <c:v>0.28506188364550927</c:v>
                </c:pt>
                <c:pt idx="6">
                  <c:v>0.29122696487635846</c:v>
                </c:pt>
                <c:pt idx="7">
                  <c:v>0.28042710340398203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2"/>
                <c:pt idx="0">
                  <c:v>2379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0.42273930611676186</c:v>
                </c:pt>
                <c:pt idx="1">
                  <c:v>0.42859099000410789</c:v>
                </c:pt>
                <c:pt idx="2">
                  <c:v>0.43857493857493857</c:v>
                </c:pt>
                <c:pt idx="3">
                  <c:v>0.4487925696594427</c:v>
                </c:pt>
                <c:pt idx="4">
                  <c:v>0.43530120481927709</c:v>
                </c:pt>
                <c:pt idx="5">
                  <c:v>0.42330071409679981</c:v>
                </c:pt>
                <c:pt idx="6">
                  <c:v>0.4414450711791566</c:v>
                </c:pt>
                <c:pt idx="7">
                  <c:v>0.41703973139339673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161456"/>
        <c:axId val="258160896"/>
      </c:lineChart>
      <c:catAx>
        <c:axId val="2581597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8160336"/>
        <c:crosses val="autoZero"/>
        <c:auto val="1"/>
        <c:lblAlgn val="ctr"/>
        <c:lblOffset val="100"/>
        <c:noMultiLvlLbl val="0"/>
      </c:catAx>
      <c:valAx>
        <c:axId val="258160336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8159776"/>
        <c:crosses val="autoZero"/>
        <c:crossBetween val="between"/>
      </c:valAx>
      <c:valAx>
        <c:axId val="258160896"/>
        <c:scaling>
          <c:orientation val="minMax"/>
          <c:max val="0.52029630724327125"/>
          <c:min val="0.25983977379830347"/>
        </c:scaling>
        <c:delete val="0"/>
        <c:axPos val="r"/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258161456"/>
        <c:crosses val="max"/>
        <c:crossBetween val="between"/>
      </c:valAx>
      <c:catAx>
        <c:axId val="258161456"/>
        <c:scaling>
          <c:orientation val="minMax"/>
        </c:scaling>
        <c:delete val="1"/>
        <c:axPos val="b"/>
        <c:majorTickMark val="out"/>
        <c:minorTickMark val="none"/>
        <c:tickLblPos val="none"/>
        <c:crossAx val="258160896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2.emf"/><Relationship Id="rId26" Type="http://schemas.openxmlformats.org/officeDocument/2006/relationships/image" Target="../media/image32.emf"/><Relationship Id="rId3" Type="http://schemas.openxmlformats.org/officeDocument/2006/relationships/image" Target="../media/image26.emf"/><Relationship Id="rId21" Type="http://schemas.openxmlformats.org/officeDocument/2006/relationships/image" Target="../media/image9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3.emf"/><Relationship Id="rId25" Type="http://schemas.openxmlformats.org/officeDocument/2006/relationships/image" Target="../media/image30.emf"/><Relationship Id="rId2" Type="http://schemas.openxmlformats.org/officeDocument/2006/relationships/image" Target="../media/image27.emf"/><Relationship Id="rId16" Type="http://schemas.openxmlformats.org/officeDocument/2006/relationships/image" Target="../media/image14.emf"/><Relationship Id="rId20" Type="http://schemas.openxmlformats.org/officeDocument/2006/relationships/image" Target="../media/image10.emf"/><Relationship Id="rId29" Type="http://schemas.openxmlformats.org/officeDocument/2006/relationships/image" Target="../media/image6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11" Type="http://schemas.openxmlformats.org/officeDocument/2006/relationships/image" Target="../media/image29.emf"/><Relationship Id="rId24" Type="http://schemas.openxmlformats.org/officeDocument/2006/relationships/image" Target="../media/image31.emf"/><Relationship Id="rId32" Type="http://schemas.openxmlformats.org/officeDocument/2006/relationships/image" Target="../media/image35.emf"/><Relationship Id="rId5" Type="http://schemas.openxmlformats.org/officeDocument/2006/relationships/image" Target="../media/image24.emf"/><Relationship Id="rId15" Type="http://schemas.openxmlformats.org/officeDocument/2006/relationships/image" Target="../media/image15.emf"/><Relationship Id="rId23" Type="http://schemas.openxmlformats.org/officeDocument/2006/relationships/image" Target="../media/image8.emf"/><Relationship Id="rId28" Type="http://schemas.openxmlformats.org/officeDocument/2006/relationships/image" Target="../media/image7.emf"/><Relationship Id="rId10" Type="http://schemas.openxmlformats.org/officeDocument/2006/relationships/image" Target="../media/image19.emf"/><Relationship Id="rId19" Type="http://schemas.openxmlformats.org/officeDocument/2006/relationships/image" Target="../media/image11.emf"/><Relationship Id="rId31" Type="http://schemas.openxmlformats.org/officeDocument/2006/relationships/image" Target="../media/image4.emf"/><Relationship Id="rId4" Type="http://schemas.openxmlformats.org/officeDocument/2006/relationships/image" Target="../media/image25.emf"/><Relationship Id="rId9" Type="http://schemas.openxmlformats.org/officeDocument/2006/relationships/image" Target="../media/image20.emf"/><Relationship Id="rId14" Type="http://schemas.openxmlformats.org/officeDocument/2006/relationships/image" Target="../media/image16.emf"/><Relationship Id="rId22" Type="http://schemas.openxmlformats.org/officeDocument/2006/relationships/image" Target="../media/image34.emf"/><Relationship Id="rId27" Type="http://schemas.openxmlformats.org/officeDocument/2006/relationships/image" Target="../media/image33.emf"/><Relationship Id="rId30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image" Target="../media/image38.emf"/><Relationship Id="rId3" Type="http://schemas.openxmlformats.org/officeDocument/2006/relationships/image" Target="../media/image43.emf"/><Relationship Id="rId7" Type="http://schemas.openxmlformats.org/officeDocument/2006/relationships/image" Target="../media/image40.emf"/><Relationship Id="rId12" Type="http://schemas.openxmlformats.org/officeDocument/2006/relationships/image" Target="../media/image50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6.emf"/><Relationship Id="rId11" Type="http://schemas.openxmlformats.org/officeDocument/2006/relationships/image" Target="../media/image49.emf"/><Relationship Id="rId5" Type="http://schemas.openxmlformats.org/officeDocument/2006/relationships/image" Target="../media/image41.emf"/><Relationship Id="rId15" Type="http://schemas.openxmlformats.org/officeDocument/2006/relationships/image" Target="../media/image36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Relationship Id="rId1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12" Type="http://schemas.openxmlformats.org/officeDocument/2006/relationships/image" Target="../media/image51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11" Type="http://schemas.openxmlformats.org/officeDocument/2006/relationships/image" Target="../media/image52.emf"/><Relationship Id="rId5" Type="http://schemas.openxmlformats.org/officeDocument/2006/relationships/image" Target="../media/image58.emf"/><Relationship Id="rId10" Type="http://schemas.openxmlformats.org/officeDocument/2006/relationships/image" Target="../media/image53.emf"/><Relationship Id="rId4" Type="http://schemas.openxmlformats.org/officeDocument/2006/relationships/image" Target="../media/image59.emf"/><Relationship Id="rId9" Type="http://schemas.openxmlformats.org/officeDocument/2006/relationships/image" Target="../media/image54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4.emf"/><Relationship Id="rId3" Type="http://schemas.openxmlformats.org/officeDocument/2006/relationships/image" Target="../media/image69.emf"/><Relationship Id="rId7" Type="http://schemas.openxmlformats.org/officeDocument/2006/relationships/image" Target="../media/image65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6" Type="http://schemas.openxmlformats.org/officeDocument/2006/relationships/image" Target="../media/image66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Relationship Id="rId9" Type="http://schemas.openxmlformats.org/officeDocument/2006/relationships/image" Target="../media/image6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7" Type="http://schemas.openxmlformats.org/officeDocument/2006/relationships/image" Target="../media/image72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3.emf"/><Relationship Id="rId7" Type="http://schemas.openxmlformats.org/officeDocument/2006/relationships/image" Target="../media/image86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6" Type="http://schemas.openxmlformats.org/officeDocument/2006/relationships/image" Target="../media/image85.emf"/><Relationship Id="rId5" Type="http://schemas.openxmlformats.org/officeDocument/2006/relationships/image" Target="../media/image80.emf"/><Relationship Id="rId4" Type="http://schemas.openxmlformats.org/officeDocument/2006/relationships/image" Target="../media/image84.emf"/><Relationship Id="rId9" Type="http://schemas.openxmlformats.org/officeDocument/2006/relationships/image" Target="../media/image8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Relationship Id="rId5" Type="http://schemas.openxmlformats.org/officeDocument/2006/relationships/image" Target="../media/image89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8.emf"/><Relationship Id="rId1" Type="http://schemas.openxmlformats.org/officeDocument/2006/relationships/image" Target="../media/image9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1</xdr:row>
          <xdr:rowOff>9525</xdr:rowOff>
        </xdr:from>
        <xdr:to>
          <xdr:col>0</xdr:col>
          <xdr:colOff>1181100</xdr:colOff>
          <xdr:row>2</xdr:row>
          <xdr:rowOff>9525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0</xdr:row>
          <xdr:rowOff>38100</xdr:rowOff>
        </xdr:from>
        <xdr:to>
          <xdr:col>8</xdr:col>
          <xdr:colOff>1019175</xdr:colOff>
          <xdr:row>1</xdr:row>
          <xdr:rowOff>209550</xdr:rowOff>
        </xdr:to>
        <xdr:sp macro="" textlink="">
          <xdr:nvSpPr>
            <xdr:cNvPr id="32771" name="CommandButton2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895350</xdr:colOff>
          <xdr:row>0</xdr:row>
          <xdr:rowOff>400050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1</xdr:col>
          <xdr:colOff>266700</xdr:colOff>
          <xdr:row>1</xdr:row>
          <xdr:rowOff>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66675</xdr:colOff>
          <xdr:row>0</xdr:row>
          <xdr:rowOff>333375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0</xdr:rowOff>
        </xdr:from>
        <xdr:to>
          <xdr:col>5</xdr:col>
          <xdr:colOff>923925</xdr:colOff>
          <xdr:row>0</xdr:row>
          <xdr:rowOff>333375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0</xdr:row>
          <xdr:rowOff>0</xdr:rowOff>
        </xdr:from>
        <xdr:to>
          <xdr:col>7</xdr:col>
          <xdr:colOff>400050</xdr:colOff>
          <xdr:row>0</xdr:row>
          <xdr:rowOff>333375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952500</xdr:colOff>
          <xdr:row>0</xdr:row>
          <xdr:rowOff>0</xdr:rowOff>
        </xdr:from>
        <xdr:to>
          <xdr:col>6</xdr:col>
          <xdr:colOff>657225</xdr:colOff>
          <xdr:row>0</xdr:row>
          <xdr:rowOff>333375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0</xdr:row>
          <xdr:rowOff>0</xdr:rowOff>
        </xdr:from>
        <xdr:to>
          <xdr:col>8</xdr:col>
          <xdr:colOff>142875</xdr:colOff>
          <xdr:row>0</xdr:row>
          <xdr:rowOff>333375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0</xdr:row>
          <xdr:rowOff>0</xdr:rowOff>
        </xdr:from>
        <xdr:to>
          <xdr:col>8</xdr:col>
          <xdr:colOff>819150</xdr:colOff>
          <xdr:row>0</xdr:row>
          <xdr:rowOff>333375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0</xdr:row>
          <xdr:rowOff>0</xdr:rowOff>
        </xdr:from>
        <xdr:to>
          <xdr:col>9</xdr:col>
          <xdr:colOff>752475</xdr:colOff>
          <xdr:row>0</xdr:row>
          <xdr:rowOff>333375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25</xdr:row>
          <xdr:rowOff>304800</xdr:rowOff>
        </xdr:from>
        <xdr:to>
          <xdr:col>27</xdr:col>
          <xdr:colOff>1381125</xdr:colOff>
          <xdr:row>27</xdr:row>
          <xdr:rowOff>190500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0</xdr:row>
          <xdr:rowOff>0</xdr:rowOff>
        </xdr:from>
        <xdr:to>
          <xdr:col>27</xdr:col>
          <xdr:colOff>685800</xdr:colOff>
          <xdr:row>0</xdr:row>
          <xdr:rowOff>342900</xdr:rowOff>
        </xdr:to>
        <xdr:sp macro="" textlink="">
          <xdr:nvSpPr>
            <xdr:cNvPr id="1034" name="CommandButton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171450</xdr:colOff>
          <xdr:row>1</xdr:row>
          <xdr:rowOff>0</xdr:rowOff>
        </xdr:to>
        <xdr:sp macro="" textlink="">
          <xdr:nvSpPr>
            <xdr:cNvPr id="1040" name="CommandButton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23</xdr:row>
          <xdr:rowOff>123825</xdr:rowOff>
        </xdr:from>
        <xdr:to>
          <xdr:col>27</xdr:col>
          <xdr:colOff>1400175</xdr:colOff>
          <xdr:row>25</xdr:row>
          <xdr:rowOff>257175</xdr:rowOff>
        </xdr:to>
        <xdr:sp macro="" textlink="">
          <xdr:nvSpPr>
            <xdr:cNvPr id="1042" name="CommandButton1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28</xdr:row>
          <xdr:rowOff>9525</xdr:rowOff>
        </xdr:from>
        <xdr:to>
          <xdr:col>27</xdr:col>
          <xdr:colOff>1371600</xdr:colOff>
          <xdr:row>30</xdr:row>
          <xdr:rowOff>0</xdr:rowOff>
        </xdr:to>
        <xdr:sp macro="" textlink="">
          <xdr:nvSpPr>
            <xdr:cNvPr id="1044" name="CommandButton1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21</xdr:row>
          <xdr:rowOff>57150</xdr:rowOff>
        </xdr:from>
        <xdr:to>
          <xdr:col>29</xdr:col>
          <xdr:colOff>638175</xdr:colOff>
          <xdr:row>23</xdr:row>
          <xdr:rowOff>47625</xdr:rowOff>
        </xdr:to>
        <xdr:sp macro="" textlink="">
          <xdr:nvSpPr>
            <xdr:cNvPr id="1045" name="CommandButton1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23</xdr:row>
          <xdr:rowOff>85725</xdr:rowOff>
        </xdr:from>
        <xdr:to>
          <xdr:col>29</xdr:col>
          <xdr:colOff>638175</xdr:colOff>
          <xdr:row>25</xdr:row>
          <xdr:rowOff>228600</xdr:rowOff>
        </xdr:to>
        <xdr:sp macro="" textlink="">
          <xdr:nvSpPr>
            <xdr:cNvPr id="1047" name="CommandButton14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27</xdr:row>
          <xdr:rowOff>171450</xdr:rowOff>
        </xdr:from>
        <xdr:to>
          <xdr:col>29</xdr:col>
          <xdr:colOff>638175</xdr:colOff>
          <xdr:row>29</xdr:row>
          <xdr:rowOff>161925</xdr:rowOff>
        </xdr:to>
        <xdr:sp macro="" textlink="">
          <xdr:nvSpPr>
            <xdr:cNvPr id="1049" name="CommandButton1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17</xdr:row>
          <xdr:rowOff>47625</xdr:rowOff>
        </xdr:from>
        <xdr:to>
          <xdr:col>29</xdr:col>
          <xdr:colOff>638175</xdr:colOff>
          <xdr:row>19</xdr:row>
          <xdr:rowOff>28575</xdr:rowOff>
        </xdr:to>
        <xdr:sp macro="" textlink="">
          <xdr:nvSpPr>
            <xdr:cNvPr id="1050" name="CommandButton1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1428750</xdr:colOff>
          <xdr:row>25</xdr:row>
          <xdr:rowOff>228600</xdr:rowOff>
        </xdr:from>
        <xdr:to>
          <xdr:col>29</xdr:col>
          <xdr:colOff>628650</xdr:colOff>
          <xdr:row>27</xdr:row>
          <xdr:rowOff>123825</xdr:rowOff>
        </xdr:to>
        <xdr:sp macro="" textlink="">
          <xdr:nvSpPr>
            <xdr:cNvPr id="1051" name="CommandButton1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30</xdr:row>
          <xdr:rowOff>19050</xdr:rowOff>
        </xdr:from>
        <xdr:to>
          <xdr:col>29</xdr:col>
          <xdr:colOff>638175</xdr:colOff>
          <xdr:row>35</xdr:row>
          <xdr:rowOff>114300</xdr:rowOff>
        </xdr:to>
        <xdr:sp macro="" textlink="">
          <xdr:nvSpPr>
            <xdr:cNvPr id="1053" name="CommandButton1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0</xdr:row>
          <xdr:rowOff>0</xdr:rowOff>
        </xdr:from>
        <xdr:to>
          <xdr:col>29</xdr:col>
          <xdr:colOff>647700</xdr:colOff>
          <xdr:row>0</xdr:row>
          <xdr:rowOff>342900</xdr:rowOff>
        </xdr:to>
        <xdr:sp macro="" textlink="">
          <xdr:nvSpPr>
            <xdr:cNvPr id="1054" name="CommandButton2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19</xdr:row>
          <xdr:rowOff>47625</xdr:rowOff>
        </xdr:from>
        <xdr:to>
          <xdr:col>29</xdr:col>
          <xdr:colOff>638175</xdr:colOff>
          <xdr:row>21</xdr:row>
          <xdr:rowOff>38100</xdr:rowOff>
        </xdr:to>
        <xdr:sp macro="" textlink="">
          <xdr:nvSpPr>
            <xdr:cNvPr id="1055" name="CommandButton2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38100</xdr:colOff>
      <xdr:row>1</xdr:row>
      <xdr:rowOff>38100</xdr:rowOff>
    </xdr:from>
    <xdr:to>
      <xdr:col>21</xdr:col>
      <xdr:colOff>526257</xdr:colOff>
      <xdr:row>18</xdr:row>
      <xdr:rowOff>159669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526257</xdr:colOff>
      <xdr:row>35</xdr:row>
      <xdr:rowOff>142875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752475</xdr:colOff>
          <xdr:row>0</xdr:row>
          <xdr:rowOff>0</xdr:rowOff>
        </xdr:from>
        <xdr:to>
          <xdr:col>27</xdr:col>
          <xdr:colOff>1390650</xdr:colOff>
          <xdr:row>1</xdr:row>
          <xdr:rowOff>0</xdr:rowOff>
        </xdr:to>
        <xdr:sp macro="" textlink="">
          <xdr:nvSpPr>
            <xdr:cNvPr id="1060" name="CommandButton25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533400</xdr:colOff>
          <xdr:row>0</xdr:row>
          <xdr:rowOff>0</xdr:rowOff>
        </xdr:from>
        <xdr:to>
          <xdr:col>34</xdr:col>
          <xdr:colOff>400050</xdr:colOff>
          <xdr:row>1</xdr:row>
          <xdr:rowOff>47625</xdr:rowOff>
        </xdr:to>
        <xdr:sp macro="" textlink="">
          <xdr:nvSpPr>
            <xdr:cNvPr id="1061" name="CommandButton26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17</xdr:row>
          <xdr:rowOff>66675</xdr:rowOff>
        </xdr:from>
        <xdr:to>
          <xdr:col>27</xdr:col>
          <xdr:colOff>704850</xdr:colOff>
          <xdr:row>19</xdr:row>
          <xdr:rowOff>38100</xdr:rowOff>
        </xdr:to>
        <xdr:sp macro="" textlink="">
          <xdr:nvSpPr>
            <xdr:cNvPr id="1057" name="CommandButton22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752475</xdr:colOff>
          <xdr:row>17</xdr:row>
          <xdr:rowOff>66675</xdr:rowOff>
        </xdr:from>
        <xdr:to>
          <xdr:col>27</xdr:col>
          <xdr:colOff>1400175</xdr:colOff>
          <xdr:row>19</xdr:row>
          <xdr:rowOff>38100</xdr:rowOff>
        </xdr:to>
        <xdr:sp macro="" textlink="">
          <xdr:nvSpPr>
            <xdr:cNvPr id="1056" name="CommandButton10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19</xdr:row>
          <xdr:rowOff>85725</xdr:rowOff>
        </xdr:from>
        <xdr:to>
          <xdr:col>27</xdr:col>
          <xdr:colOff>714375</xdr:colOff>
          <xdr:row>21</xdr:row>
          <xdr:rowOff>66675</xdr:rowOff>
        </xdr:to>
        <xdr:sp macro="" textlink="">
          <xdr:nvSpPr>
            <xdr:cNvPr id="1058" name="CommandButton23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742950</xdr:colOff>
          <xdr:row>19</xdr:row>
          <xdr:rowOff>76200</xdr:rowOff>
        </xdr:from>
        <xdr:to>
          <xdr:col>27</xdr:col>
          <xdr:colOff>1381125</xdr:colOff>
          <xdr:row>21</xdr:row>
          <xdr:rowOff>57150</xdr:rowOff>
        </xdr:to>
        <xdr:sp macro="" textlink="">
          <xdr:nvSpPr>
            <xdr:cNvPr id="1059" name="CommandButton2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21</xdr:row>
          <xdr:rowOff>123825</xdr:rowOff>
        </xdr:from>
        <xdr:to>
          <xdr:col>27</xdr:col>
          <xdr:colOff>704850</xdr:colOff>
          <xdr:row>23</xdr:row>
          <xdr:rowOff>104775</xdr:rowOff>
        </xdr:to>
        <xdr:sp macro="" textlink="">
          <xdr:nvSpPr>
            <xdr:cNvPr id="1063" name="CommandButton27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30</xdr:row>
          <xdr:rowOff>38100</xdr:rowOff>
        </xdr:from>
        <xdr:to>
          <xdr:col>27</xdr:col>
          <xdr:colOff>1400175</xdr:colOff>
          <xdr:row>35</xdr:row>
          <xdr:rowOff>152400</xdr:rowOff>
        </xdr:to>
        <xdr:sp macro="" textlink="">
          <xdr:nvSpPr>
            <xdr:cNvPr id="1065" name="CommandButton28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847725</xdr:colOff>
          <xdr:row>0</xdr:row>
          <xdr:rowOff>0</xdr:rowOff>
        </xdr:from>
        <xdr:to>
          <xdr:col>9</xdr:col>
          <xdr:colOff>304800</xdr:colOff>
          <xdr:row>0</xdr:row>
          <xdr:rowOff>333375</xdr:rowOff>
        </xdr:to>
        <xdr:sp macro="" textlink="">
          <xdr:nvSpPr>
            <xdr:cNvPr id="1066" name="CommandButton29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0</xdr:rowOff>
        </xdr:from>
        <xdr:to>
          <xdr:col>30</xdr:col>
          <xdr:colOff>590550</xdr:colOff>
          <xdr:row>0</xdr:row>
          <xdr:rowOff>342900</xdr:rowOff>
        </xdr:to>
        <xdr:sp macro="" textlink="">
          <xdr:nvSpPr>
            <xdr:cNvPr id="1068" name="CommandButton3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723900</xdr:colOff>
          <xdr:row>21</xdr:row>
          <xdr:rowOff>114300</xdr:rowOff>
        </xdr:from>
        <xdr:to>
          <xdr:col>27</xdr:col>
          <xdr:colOff>1381125</xdr:colOff>
          <xdr:row>23</xdr:row>
          <xdr:rowOff>95250</xdr:rowOff>
        </xdr:to>
        <xdr:sp macro="" textlink="">
          <xdr:nvSpPr>
            <xdr:cNvPr id="1070" name="CommandButton32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19050</xdr:rowOff>
        </xdr:from>
        <xdr:to>
          <xdr:col>6</xdr:col>
          <xdr:colOff>485775</xdr:colOff>
          <xdr:row>1</xdr:row>
          <xdr:rowOff>342900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38100</xdr:rowOff>
        </xdr:from>
        <xdr:to>
          <xdr:col>11</xdr:col>
          <xdr:colOff>409575</xdr:colOff>
          <xdr:row>0</xdr:row>
          <xdr:rowOff>295275</xdr:rowOff>
        </xdr:to>
        <xdr:sp macro="" textlink="">
          <xdr:nvSpPr>
            <xdr:cNvPr id="2050" name="CommandButton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38100</xdr:rowOff>
        </xdr:from>
        <xdr:to>
          <xdr:col>9</xdr:col>
          <xdr:colOff>361950</xdr:colOff>
          <xdr:row>0</xdr:row>
          <xdr:rowOff>295275</xdr:rowOff>
        </xdr:to>
        <xdr:sp macro="" textlink="">
          <xdr:nvSpPr>
            <xdr:cNvPr id="2051" name="CommandButton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38100</xdr:rowOff>
        </xdr:from>
        <xdr:to>
          <xdr:col>8</xdr:col>
          <xdr:colOff>381000</xdr:colOff>
          <xdr:row>0</xdr:row>
          <xdr:rowOff>295275</xdr:rowOff>
        </xdr:to>
        <xdr:sp macro="" textlink="">
          <xdr:nvSpPr>
            <xdr:cNvPr id="2052" name="CommandButton5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1</xdr:row>
          <xdr:rowOff>19050</xdr:rowOff>
        </xdr:from>
        <xdr:to>
          <xdr:col>1</xdr:col>
          <xdr:colOff>695325</xdr:colOff>
          <xdr:row>1</xdr:row>
          <xdr:rowOff>342900</xdr:rowOff>
        </xdr:to>
        <xdr:sp macro="" textlink="">
          <xdr:nvSpPr>
            <xdr:cNvPr id="2053" name="CommandButton6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38100</xdr:rowOff>
        </xdr:from>
        <xdr:to>
          <xdr:col>10</xdr:col>
          <xdr:colOff>409575</xdr:colOff>
          <xdr:row>0</xdr:row>
          <xdr:rowOff>295275</xdr:rowOff>
        </xdr:to>
        <xdr:sp macro="" textlink="">
          <xdr:nvSpPr>
            <xdr:cNvPr id="2057" name="CommandButton1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38100</xdr:rowOff>
        </xdr:from>
        <xdr:to>
          <xdr:col>7</xdr:col>
          <xdr:colOff>390525</xdr:colOff>
          <xdr:row>0</xdr:row>
          <xdr:rowOff>295275</xdr:rowOff>
        </xdr:to>
        <xdr:sp macro="" textlink="">
          <xdr:nvSpPr>
            <xdr:cNvPr id="2059" name="CommandButton7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</xdr:row>
          <xdr:rowOff>19050</xdr:rowOff>
        </xdr:from>
        <xdr:to>
          <xdr:col>15</xdr:col>
          <xdr:colOff>609600</xdr:colOff>
          <xdr:row>1</xdr:row>
          <xdr:rowOff>342900</xdr:rowOff>
        </xdr:to>
        <xdr:sp macro="" textlink="">
          <xdr:nvSpPr>
            <xdr:cNvPr id="2062" name="CommandButton9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0</xdr:col>
          <xdr:colOff>638175</xdr:colOff>
          <xdr:row>1</xdr:row>
          <xdr:rowOff>342900</xdr:rowOff>
        </xdr:to>
        <xdr:sp macro="" textlink="">
          <xdr:nvSpPr>
            <xdr:cNvPr id="2063" name="CommandButton8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38100</xdr:rowOff>
        </xdr:from>
        <xdr:to>
          <xdr:col>12</xdr:col>
          <xdr:colOff>390525</xdr:colOff>
          <xdr:row>0</xdr:row>
          <xdr:rowOff>295275</xdr:rowOff>
        </xdr:to>
        <xdr:sp macro="" textlink="">
          <xdr:nvSpPr>
            <xdr:cNvPr id="2064" name="CommandButton10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19050</xdr:rowOff>
        </xdr:from>
        <xdr:to>
          <xdr:col>18</xdr:col>
          <xdr:colOff>561975</xdr:colOff>
          <xdr:row>1</xdr:row>
          <xdr:rowOff>342900</xdr:rowOff>
        </xdr:to>
        <xdr:sp macro="" textlink="">
          <xdr:nvSpPr>
            <xdr:cNvPr id="2065" name="CommandButton1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19050</xdr:rowOff>
        </xdr:from>
        <xdr:to>
          <xdr:col>12</xdr:col>
          <xdr:colOff>428625</xdr:colOff>
          <xdr:row>1</xdr:row>
          <xdr:rowOff>342900</xdr:rowOff>
        </xdr:to>
        <xdr:sp macro="" textlink="">
          <xdr:nvSpPr>
            <xdr:cNvPr id="2067" name="CommandButton12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0</xdr:row>
          <xdr:rowOff>38100</xdr:rowOff>
        </xdr:from>
        <xdr:to>
          <xdr:col>17</xdr:col>
          <xdr:colOff>790575</xdr:colOff>
          <xdr:row>0</xdr:row>
          <xdr:rowOff>295275</xdr:rowOff>
        </xdr:to>
        <xdr:sp macro="" textlink="">
          <xdr:nvSpPr>
            <xdr:cNvPr id="2068" name="CommandButton13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0</xdr:row>
          <xdr:rowOff>38100</xdr:rowOff>
        </xdr:from>
        <xdr:to>
          <xdr:col>18</xdr:col>
          <xdr:colOff>581025</xdr:colOff>
          <xdr:row>0</xdr:row>
          <xdr:rowOff>295275</xdr:rowOff>
        </xdr:to>
        <xdr:sp macro="" textlink="">
          <xdr:nvSpPr>
            <xdr:cNvPr id="2069" name="CommandButton14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</xdr:row>
          <xdr:rowOff>19050</xdr:rowOff>
        </xdr:from>
        <xdr:to>
          <xdr:col>17</xdr:col>
          <xdr:colOff>790575</xdr:colOff>
          <xdr:row>1</xdr:row>
          <xdr:rowOff>342900</xdr:rowOff>
        </xdr:to>
        <xdr:sp macro="" textlink="">
          <xdr:nvSpPr>
            <xdr:cNvPr id="2070" name="CommandButton15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19050</xdr:rowOff>
        </xdr:from>
        <xdr:to>
          <xdr:col>3</xdr:col>
          <xdr:colOff>828675</xdr:colOff>
          <xdr:row>1</xdr:row>
          <xdr:rowOff>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19050</xdr:rowOff>
        </xdr:from>
        <xdr:to>
          <xdr:col>4</xdr:col>
          <xdr:colOff>828675</xdr:colOff>
          <xdr:row>1</xdr:row>
          <xdr:rowOff>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5</xdr:col>
          <xdr:colOff>981075</xdr:colOff>
          <xdr:row>1</xdr:row>
          <xdr:rowOff>0</xdr:rowOff>
        </xdr:to>
        <xdr:sp macro="" textlink="">
          <xdr:nvSpPr>
            <xdr:cNvPr id="4099" name="CommandButton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9</xdr:col>
          <xdr:colOff>809625</xdr:colOff>
          <xdr:row>0</xdr:row>
          <xdr:rowOff>419100</xdr:rowOff>
        </xdr:to>
        <xdr:sp macro="" textlink="">
          <xdr:nvSpPr>
            <xdr:cNvPr id="4105" name="CommandButton10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9525</xdr:rowOff>
        </xdr:from>
        <xdr:to>
          <xdr:col>11</xdr:col>
          <xdr:colOff>19050</xdr:colOff>
          <xdr:row>0</xdr:row>
          <xdr:rowOff>419100</xdr:rowOff>
        </xdr:to>
        <xdr:sp macro="" textlink="">
          <xdr:nvSpPr>
            <xdr:cNvPr id="4106" name="CommandButton11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714375</xdr:colOff>
          <xdr:row>0</xdr:row>
          <xdr:rowOff>409575</xdr:rowOff>
        </xdr:to>
        <xdr:sp macro="" textlink="">
          <xdr:nvSpPr>
            <xdr:cNvPr id="4107" name="CommandButton12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19050</xdr:rowOff>
        </xdr:from>
        <xdr:to>
          <xdr:col>6</xdr:col>
          <xdr:colOff>828675</xdr:colOff>
          <xdr:row>1</xdr:row>
          <xdr:rowOff>0</xdr:rowOff>
        </xdr:to>
        <xdr:sp macro="" textlink="">
          <xdr:nvSpPr>
            <xdr:cNvPr id="4108" name="CommandButton13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19050</xdr:rowOff>
        </xdr:from>
        <xdr:to>
          <xdr:col>2</xdr:col>
          <xdr:colOff>828675</xdr:colOff>
          <xdr:row>1</xdr:row>
          <xdr:rowOff>0</xdr:rowOff>
        </xdr:to>
        <xdr:sp macro="" textlink="">
          <xdr:nvSpPr>
            <xdr:cNvPr id="4109" name="CommandButton1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9525</xdr:rowOff>
        </xdr:from>
        <xdr:to>
          <xdr:col>12</xdr:col>
          <xdr:colOff>9525</xdr:colOff>
          <xdr:row>0</xdr:row>
          <xdr:rowOff>419100</xdr:rowOff>
        </xdr:to>
        <xdr:sp macro="" textlink="">
          <xdr:nvSpPr>
            <xdr:cNvPr id="4110" name="CommandButton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9525</xdr:rowOff>
        </xdr:from>
        <xdr:to>
          <xdr:col>7</xdr:col>
          <xdr:colOff>828675</xdr:colOff>
          <xdr:row>0</xdr:row>
          <xdr:rowOff>419100</xdr:rowOff>
        </xdr:to>
        <xdr:sp macro="" textlink="">
          <xdr:nvSpPr>
            <xdr:cNvPr id="4111" name="CommandButton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19050</xdr:rowOff>
        </xdr:from>
        <xdr:to>
          <xdr:col>8</xdr:col>
          <xdr:colOff>800100</xdr:colOff>
          <xdr:row>1</xdr:row>
          <xdr:rowOff>0</xdr:rowOff>
        </xdr:to>
        <xdr:sp macro="" textlink="">
          <xdr:nvSpPr>
            <xdr:cNvPr id="4112" name="CommandButton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0</xdr:row>
          <xdr:rowOff>0</xdr:rowOff>
        </xdr:from>
        <xdr:to>
          <xdr:col>12</xdr:col>
          <xdr:colOff>771525</xdr:colOff>
          <xdr:row>0</xdr:row>
          <xdr:rowOff>400050</xdr:rowOff>
        </xdr:to>
        <xdr:sp macro="" textlink="">
          <xdr:nvSpPr>
            <xdr:cNvPr id="4113" name="CommandButton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47625</xdr:rowOff>
        </xdr:from>
        <xdr:to>
          <xdr:col>2</xdr:col>
          <xdr:colOff>38100</xdr:colOff>
          <xdr:row>1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914400</xdr:colOff>
          <xdr:row>1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47625</xdr:rowOff>
        </xdr:from>
        <xdr:to>
          <xdr:col>5</xdr:col>
          <xdr:colOff>885825</xdr:colOff>
          <xdr:row>1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38100</xdr:rowOff>
        </xdr:from>
        <xdr:to>
          <xdr:col>8</xdr:col>
          <xdr:colOff>9525</xdr:colOff>
          <xdr:row>0</xdr:row>
          <xdr:rowOff>342900</xdr:rowOff>
        </xdr:to>
        <xdr:sp macro="" textlink="">
          <xdr:nvSpPr>
            <xdr:cNvPr id="7172" name="CommandButton1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0</xdr:row>
          <xdr:rowOff>38100</xdr:rowOff>
        </xdr:from>
        <xdr:to>
          <xdr:col>11</xdr:col>
          <xdr:colOff>904875</xdr:colOff>
          <xdr:row>0</xdr:row>
          <xdr:rowOff>342900</xdr:rowOff>
        </xdr:to>
        <xdr:sp macro="" textlink="">
          <xdr:nvSpPr>
            <xdr:cNvPr id="7173" name="CommandButton2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38100</xdr:rowOff>
        </xdr:from>
        <xdr:to>
          <xdr:col>13</xdr:col>
          <xdr:colOff>228600</xdr:colOff>
          <xdr:row>0</xdr:row>
          <xdr:rowOff>342900</xdr:rowOff>
        </xdr:to>
        <xdr:sp macro="" textlink="">
          <xdr:nvSpPr>
            <xdr:cNvPr id="7174" name="CommandButton3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0</xdr:row>
          <xdr:rowOff>38100</xdr:rowOff>
        </xdr:from>
        <xdr:to>
          <xdr:col>14</xdr:col>
          <xdr:colOff>504825</xdr:colOff>
          <xdr:row>0</xdr:row>
          <xdr:rowOff>342900</xdr:rowOff>
        </xdr:to>
        <xdr:sp macro="" textlink="">
          <xdr:nvSpPr>
            <xdr:cNvPr id="7175" name="CommandButton4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38100</xdr:rowOff>
        </xdr:from>
        <xdr:to>
          <xdr:col>15</xdr:col>
          <xdr:colOff>781050</xdr:colOff>
          <xdr:row>0</xdr:row>
          <xdr:rowOff>342900</xdr:rowOff>
        </xdr:to>
        <xdr:sp macro="" textlink="">
          <xdr:nvSpPr>
            <xdr:cNvPr id="7176" name="CommandButton5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38100</xdr:rowOff>
        </xdr:from>
        <xdr:to>
          <xdr:col>10</xdr:col>
          <xdr:colOff>561975</xdr:colOff>
          <xdr:row>0</xdr:row>
          <xdr:rowOff>342900</xdr:rowOff>
        </xdr:to>
        <xdr:sp macro="" textlink="">
          <xdr:nvSpPr>
            <xdr:cNvPr id="7178" name="CommandButton7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1</xdr:col>
          <xdr:colOff>9525</xdr:colOff>
          <xdr:row>0</xdr:row>
          <xdr:rowOff>352425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57150</xdr:rowOff>
        </xdr:from>
        <xdr:to>
          <xdr:col>5</xdr:col>
          <xdr:colOff>1123950</xdr:colOff>
          <xdr:row>0</xdr:row>
          <xdr:rowOff>352425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1133475</xdr:colOff>
          <xdr:row>0</xdr:row>
          <xdr:rowOff>352425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57150</xdr:rowOff>
        </xdr:from>
        <xdr:to>
          <xdr:col>9</xdr:col>
          <xdr:colOff>1123950</xdr:colOff>
          <xdr:row>0</xdr:row>
          <xdr:rowOff>352425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57150</xdr:rowOff>
        </xdr:from>
        <xdr:to>
          <xdr:col>10</xdr:col>
          <xdr:colOff>1162050</xdr:colOff>
          <xdr:row>0</xdr:row>
          <xdr:rowOff>352425</xdr:rowOff>
        </xdr:to>
        <xdr:sp macro="" textlink="">
          <xdr:nvSpPr>
            <xdr:cNvPr id="12293" name="CommandButton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57150</xdr:rowOff>
        </xdr:from>
        <xdr:to>
          <xdr:col>10</xdr:col>
          <xdr:colOff>2409825</xdr:colOff>
          <xdr:row>0</xdr:row>
          <xdr:rowOff>352425</xdr:rowOff>
        </xdr:to>
        <xdr:sp macro="" textlink="">
          <xdr:nvSpPr>
            <xdr:cNvPr id="12295" name="CommandButton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647700</xdr:colOff>
          <xdr:row>0</xdr:row>
          <xdr:rowOff>361950</xdr:rowOff>
        </xdr:to>
        <xdr:sp macro="" textlink="">
          <xdr:nvSpPr>
            <xdr:cNvPr id="12296" name="CommandButton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0</xdr:rowOff>
        </xdr:from>
        <xdr:to>
          <xdr:col>2</xdr:col>
          <xdr:colOff>876300</xdr:colOff>
          <xdr:row>0</xdr:row>
          <xdr:rowOff>409575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0</xdr:rowOff>
        </xdr:from>
        <xdr:to>
          <xdr:col>6</xdr:col>
          <xdr:colOff>1162050</xdr:colOff>
          <xdr:row>0</xdr:row>
          <xdr:rowOff>409575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0</xdr:rowOff>
        </xdr:from>
        <xdr:to>
          <xdr:col>7</xdr:col>
          <xdr:colOff>1524000</xdr:colOff>
          <xdr:row>0</xdr:row>
          <xdr:rowOff>409575</xdr:rowOff>
        </xdr:to>
        <xdr:sp macro="" textlink="">
          <xdr:nvSpPr>
            <xdr:cNvPr id="3079" name="CommandButton5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0</xdr:rowOff>
        </xdr:from>
        <xdr:to>
          <xdr:col>11</xdr:col>
          <xdr:colOff>676275</xdr:colOff>
          <xdr:row>0</xdr:row>
          <xdr:rowOff>409575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10</xdr:col>
          <xdr:colOff>685800</xdr:colOff>
          <xdr:row>0</xdr:row>
          <xdr:rowOff>409575</xdr:rowOff>
        </xdr:to>
        <xdr:sp macro="" textlink="">
          <xdr:nvSpPr>
            <xdr:cNvPr id="3085" name="CommandButton9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0</xdr:rowOff>
        </xdr:from>
        <xdr:to>
          <xdr:col>12</xdr:col>
          <xdr:colOff>676275</xdr:colOff>
          <xdr:row>0</xdr:row>
          <xdr:rowOff>409575</xdr:rowOff>
        </xdr:to>
        <xdr:sp macro="" textlink="">
          <xdr:nvSpPr>
            <xdr:cNvPr id="3086" name="CommandButton10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0</xdr:rowOff>
        </xdr:from>
        <xdr:to>
          <xdr:col>8</xdr:col>
          <xdr:colOff>838200</xdr:colOff>
          <xdr:row>0</xdr:row>
          <xdr:rowOff>409575</xdr:rowOff>
        </xdr:to>
        <xdr:sp macro="" textlink="">
          <xdr:nvSpPr>
            <xdr:cNvPr id="3087" name="CommandButton2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0</xdr:col>
          <xdr:colOff>1076325</xdr:colOff>
          <xdr:row>0</xdr:row>
          <xdr:rowOff>409575</xdr:rowOff>
        </xdr:to>
        <xdr:sp macro="" textlink="">
          <xdr:nvSpPr>
            <xdr:cNvPr id="3088" name="CommandButton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4</xdr:col>
          <xdr:colOff>885825</xdr:colOff>
          <xdr:row>0</xdr:row>
          <xdr:rowOff>409575</xdr:rowOff>
        </xdr:to>
        <xdr:sp macro="" textlink="">
          <xdr:nvSpPr>
            <xdr:cNvPr id="3089" name="CommandButton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28575</xdr:rowOff>
        </xdr:from>
        <xdr:to>
          <xdr:col>0</xdr:col>
          <xdr:colOff>333375</xdr:colOff>
          <xdr:row>0</xdr:row>
          <xdr:rowOff>180975</xdr:rowOff>
        </xdr:to>
        <xdr:sp macro="" textlink="">
          <xdr:nvSpPr>
            <xdr:cNvPr id="54273" name="CommandButton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0</xdr:row>
          <xdr:rowOff>28575</xdr:rowOff>
        </xdr:from>
        <xdr:to>
          <xdr:col>8</xdr:col>
          <xdr:colOff>876300</xdr:colOff>
          <xdr:row>0</xdr:row>
          <xdr:rowOff>409575</xdr:rowOff>
        </xdr:to>
        <xdr:sp macro="" textlink="">
          <xdr:nvSpPr>
            <xdr:cNvPr id="50178" name="CommandButton1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28575</xdr:rowOff>
        </xdr:from>
        <xdr:to>
          <xdr:col>10</xdr:col>
          <xdr:colOff>857250</xdr:colOff>
          <xdr:row>0</xdr:row>
          <xdr:rowOff>409575</xdr:rowOff>
        </xdr:to>
        <xdr:sp macro="" textlink="">
          <xdr:nvSpPr>
            <xdr:cNvPr id="50179" name="CommandButton2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47625</xdr:rowOff>
        </xdr:from>
        <xdr:to>
          <xdr:col>12</xdr:col>
          <xdr:colOff>0</xdr:colOff>
          <xdr:row>0</xdr:row>
          <xdr:rowOff>409575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47625</xdr:rowOff>
        </xdr:from>
        <xdr:to>
          <xdr:col>14</xdr:col>
          <xdr:colOff>409575</xdr:colOff>
          <xdr:row>0</xdr:row>
          <xdr:rowOff>390525</xdr:rowOff>
        </xdr:to>
        <xdr:sp macro="" textlink="">
          <xdr:nvSpPr>
            <xdr:cNvPr id="50182" name="CommandButton4" hidden="1">
              <a:extLst>
                <a:ext uri="{63B3BB69-23CF-44E3-9099-C40C66FF867C}">
                  <a14:compatExt spid="_x0000_s50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38100</xdr:rowOff>
        </xdr:from>
        <xdr:to>
          <xdr:col>0</xdr:col>
          <xdr:colOff>857250</xdr:colOff>
          <xdr:row>0</xdr:row>
          <xdr:rowOff>409575</xdr:rowOff>
        </xdr:to>
        <xdr:sp macro="" textlink="">
          <xdr:nvSpPr>
            <xdr:cNvPr id="50183" name="CommandButton5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</xdr:rowOff>
        </xdr:from>
        <xdr:to>
          <xdr:col>2</xdr:col>
          <xdr:colOff>552450</xdr:colOff>
          <xdr:row>0</xdr:row>
          <xdr:rowOff>371475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9525</xdr:rowOff>
        </xdr:from>
        <xdr:to>
          <xdr:col>11</xdr:col>
          <xdr:colOff>742950</xdr:colOff>
          <xdr:row>0</xdr:row>
          <xdr:rowOff>333375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19050</xdr:rowOff>
        </xdr:from>
        <xdr:to>
          <xdr:col>12</xdr:col>
          <xdr:colOff>733425</xdr:colOff>
          <xdr:row>0</xdr:row>
          <xdr:rowOff>342900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19050</xdr:rowOff>
        </xdr:from>
        <xdr:to>
          <xdr:col>13</xdr:col>
          <xdr:colOff>809625</xdr:colOff>
          <xdr:row>0</xdr:row>
          <xdr:rowOff>333375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9525</xdr:rowOff>
        </xdr:from>
        <xdr:to>
          <xdr:col>1</xdr:col>
          <xdr:colOff>333375</xdr:colOff>
          <xdr:row>0</xdr:row>
          <xdr:rowOff>180975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0</xdr:row>
          <xdr:rowOff>180975</xdr:rowOff>
        </xdr:to>
        <xdr:sp macro="" textlink="">
          <xdr:nvSpPr>
            <xdr:cNvPr id="19460" name="CommandButton2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外部資料_135" headers="0" backgroundRefresh="0" growShrinkType="overwriteClear" removeDataOnSave="1" preserveFormatting="0" adjustColumnWidth="0" connectionId="1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107" headers="0" backgroundRefresh="0" growShrinkType="overwriteClear" removeDataOnSave="1" preserveFormatting="0" adjustColumnWidth="0" connectionId="8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67" headers="0" backgroundRefresh="0" growShrinkType="overwriteClear" removeDataOnSave="1" preserveFormatting="0" adjustColumnWidth="0" connectionId="1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64" headers="0" backgroundRefresh="0" growShrinkType="overwriteClear" removeDataOnSave="1" preserveFormatting="0" adjustColumnWidth="0" connectionId="1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85" headers="0" backgroundRefresh="0" growShrinkType="overwriteClear" removeDataOnSave="1" preserveFormatting="0" adjustColumnWidth="0" connectionId="6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94" headers="0" backgroundRefresh="0" growShrinkType="overwriteClear" removeDataOnSave="1" preserveFormatting="0" adjustColumnWidth="0" connectionId="7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113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79" headers="0" backgroundRefresh="0" growShrinkType="overwriteClear" removeDataOnSave="1" preserveFormatting="0" adjustColumnWidth="0" connectionId="3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70" headers="0" backgroundRefresh="0" growShrinkType="overwriteClear" removeDataOnSave="1" preserveFormatting="0" adjustColumnWidth="0" connectionId="2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90" headers="0" backgroundRefresh="0" growShrinkType="overwriteClear" removeDataOnSave="1" preserveFormatting="0" adjustColumnWidth="0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74" headers="0" backgroundRefresh="0" growShrinkType="overwriteClear" removeDataOnSave="1" preserveFormatting="0" adjustColumnWidth="0" connectionId="2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147" headers="0" backgroundRefresh="0" growShrinkType="overwriteClear" removeDataOnSave="1" preserveFormatting="0" adjustColumnWidth="0" connectionId="13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71" headers="0" backgroundRefresh="0" growShrinkType="overwriteClear" removeDataOnSave="1" preserveFormatting="0" adjustColumnWidth="0" connectionId="2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63" headers="0" backgroundRefresh="0" growShrinkType="overwriteClear" removeDataOnSave="1" preserveFormatting="0" adjustColumnWidth="0" connectionId="17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125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108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57" headers="0" backgroundRefresh="0" growShrinkType="overwriteClear" removeDataOnSave="1" preserveFormatting="0" adjustColumnWidth="0" connectionId="15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140" headers="0" backgroundRefresh="0" growShrinkType="overwriteClear" removeDataOnSave="1" preserveFormatting="0" adjustColumnWidth="0" connectionId="12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139" headers="0" backgroundRefresh="0" growShrinkType="overwriteClear" removeDataOnSave="1" preserveFormatting="0" adjustColumnWidth="0" connectionId="12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134" headers="0" backgroundRefresh="0" growShrinkType="overwriteClear" removeDataOnSave="1" preserveFormatting="0" adjustColumnWidth="0" connectionId="11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84" headers="0" backgroundRefresh="0" growShrinkType="overwriteClear" removeDataOnSave="1" preserveFormatting="0" adjustColumnWidth="0" connectionId="6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65" headers="0" backgroundRefresh="0" growShrinkType="overwriteClear" removeDataOnSave="1" preserveFormatting="0" adjustColumnWidth="0" connectionId="17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1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129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78" headers="0" backgroundRefresh="0" growShrinkType="overwriteClear" removeDataOnSave="1" preserveFormatting="0" adjustColumnWidth="0" connectionId="3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137" headers="0" backgroundRefresh="0" growShrinkType="overwriteClear" removeDataOnSave="1" preserveFormatting="0" adjustColumnWidth="0" connectionId="1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62" headers="0" backgroundRefresh="0" growShrinkType="overwriteClear" removeDataOnSave="1" preserveFormatting="0" adjustColumnWidth="0" connectionId="16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146" headers="0" backgroundRefresh="0" growShrinkType="overwriteClear" removeDataOnSave="1" preserveFormatting="0" adjustColumnWidth="0" connectionId="12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121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119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58" headers="0" backgroundRefresh="0" growShrinkType="overwriteClear" removeDataOnSave="1" preserveFormatting="0" adjustColumnWidth="0" connectionId="15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130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92" headers="0" backgroundRefresh="0" growShrinkType="overwriteClear" removeDataOnSave="1" preserveFormatting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93" headers="0" backgroundRefresh="0" growShrinkType="overwriteClear" removeDataOnSave="1" preserveFormatting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143" headers="0" backgroundRefresh="0" growShrinkType="overwriteClear" removeDataOnSave="1" preserveFormatting="0" adjustColumnWidth="0" connectionId="12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51" headers="0" backgroundRefresh="0" growShrinkType="overwriteClear" removeDataOnSave="1" preserveFormatting="0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52" headers="0" backgroundRefresh="0" growShrinkType="overwriteClear" removeDataOnSave="1" preserveFormatting="0" adjustColumnWidth="0" connectionId="1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114" headers="0" backgroundRefresh="0" growShrinkType="overwriteClear" removeDataOnSave="1" preserveFormatting="0" adjustColumnWidth="0" connectionId="9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97" headers="0" backgroundRefresh="0" growShrinkType="overwriteClear" removeDataOnSave="1" preserveFormatting="0" adjustColumnWidth="0" connectionId="8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99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136" headers="0" backgroundRefresh="0" growShrinkType="overwriteClear" removeDataOnSave="1" preserveFormatting="0" adjustColumnWidth="0" connectionId="1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56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89" headers="0" backgroundRefresh="0" growShrinkType="overwriteClear" removeDataOnSave="1" preserveFormatting="0" adjustColumnWidth="0" connectionId="7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115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127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122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87" headers="0" backgroundRefresh="0" growShrinkType="overwriteClear" removeDataOnSave="1" preserveFormatting="0" adjustColumnWidth="0" connectionId="7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111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88" headers="0" backgroundRefresh="0" growShrinkType="overwriteClear" removeDataOnSave="1" preserveFormatting="0" adjustColumnWidth="0" connectionId="7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81" headers="0" backgroundRefresh="0" growShrinkType="overwriteClear" removeDataOnSave="1" preserveFormatting="0" adjustColumnWidth="0" connectionId="6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109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72" headers="0" backgroundRefresh="0" growShrinkType="overwriteClear" removeDataOnSave="1" preserveFormatting="0" adjustColumnWidth="0" connectionId="2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149" headers="0" backgroundRefresh="0" growShrinkType="overwriteClear" removeDataOnSave="1" preserveFormatting="0" adjustColumnWidth="0" connectionId="14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118" headers="0" backgroundRefresh="0" growShrinkType="overwriteClear" removeDataOnSave="1" preserveFormatting="0" adjustColumnWidth="0" connectionId="10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53" headers="0" backgroundRefresh="0" growShrinkType="overwriteClear" removeDataOnSave="1" preserveFormatting="0" adjustColumnWidth="0" connectionId="17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116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91" headers="0" backgroundRefresh="0" growShrinkType="overwriteClear" removeDataOnSave="1" preserveFormatting="0" adjustColumnWidth="0" connectionId="7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80" headers="0" backgroundRefresh="0" growShrinkType="overwriteClear" removeDataOnSave="1" preserveFormatting="0" adjustColumnWidth="0" connectionId="6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1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145" headers="0" backgroundRefresh="0" growShrinkType="overwriteClear" removeDataOnSave="1" preserveFormatting="0" adjustColumnWidth="0" connectionId="12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86" headers="0" backgroundRefresh="0" growShrinkType="overwriteClear" removeDataOnSave="1" preserveFormatting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1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112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83" headers="0" backgroundRefresh="0" growShrinkType="overwriteClear" removeDataOnSave="1" preserveFormatting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110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60" headers="0" backgroundRefresh="0" growShrinkType="overwriteClear" removeDataOnSave="1" preserveFormatting="0" adjustColumnWidth="0" connectionId="16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76" headers="0" backgroundRefresh="0" growShrinkType="overwriteClear" removeDataOnSave="1" preserveFormatting="0" adjustColumnWidth="0" connectionId="2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132" headers="0" backgroundRefresh="0" growShrinkType="overwriteClear" removeDataOnSave="1" preserveFormatting="0" adjustColumnWidth="0" connectionId="1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96" headers="0" backgroundRefresh="0" growShrinkType="overwriteClear" removeDataOnSave="1" preserveFormatting="0" adjustColumnWidth="0" connectionId="7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117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138" headers="0" backgroundRefresh="0" growShrinkType="overwriteClear" removeDataOnSave="1" preserveFormatting="0" adjustColumnWidth="0" connectionId="12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55" headers="0" backgroundRefresh="0" growShrinkType="overwriteClear" removeDataOnSave="1" preserveFormatting="0" adjustColumnWidth="0" connectionId="1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126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131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59" headers="0" backgroundRefresh="0" growShrinkType="overwriteClear" removeDataOnSave="1" preserveFormatting="0" adjustColumnWidth="0" connectionId="1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外部資料_1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外部資料_77" headers="0" backgroundRefresh="0" growShrinkType="overwriteClear" removeDataOnSave="1" preserveFormatting="0" adjustColumnWidt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外部資料_61" headers="0" backgroundRefresh="0" growShrinkType="overwriteClear" removeDataOnSave="1" preserveFormatting="0" adjustColumnWidth="0" connectionId="1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外部資料_123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外部資料_144" headers="0" backgroundRefresh="0" growShrinkType="overwriteClear" removeDataOnSave="1" preserveFormatting="0" adjustColumnWidth="0" connectionId="1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外部資料_120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外部資料_73" headers="0" backgroundRefresh="0" growShrinkType="overwriteClear" removeDataOnSave="1" preserveFormatting="0" adjustColumnWidth="0" connectionId="2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外部資料_66" headers="0" backgroundRefresh="0" growShrinkType="overwriteClear" removeDataOnSave="1" preserveFormatting="0" adjustColumnWidth="0" connectionId="17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外部資料_69" headers="0" backgroundRefresh="0" growShrinkType="overwriteClear" removeDataOnSave="1" preserveFormatting="0" adjustColumnWidth="0" connectionId="19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外部資料_141" headers="0" backgroundRefresh="0" growShrinkType="overwriteClear" removeDataOnSave="1" preserveFormatting="0" adjustColumnWidth="0" connectionId="12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外部資料_68" headers="0" backgroundRefresh="0" growShrinkType="overwriteClear" removeDataOnSave="1" preserveFormatting="0" adjustColumnWidth="0" connectionId="18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外部資料_98" headers="0" backgroundRefresh="0" growShrinkType="overwriteClear" removeDataOnSave="1" preserveFormatting="0" adjustColumnWidth="0" connectionId="8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外部資料_1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外部資料_75" headers="0" backgroundRefresh="0" growShrinkType="overwriteClear" removeDataOnSave="1" preserveFormatting="0" adjustColumnWidth="0" connectionId="2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外部資料_133" headers="0" backgroundRefresh="0" growShrinkType="overwriteClear" removeDataOnSave="1" preserveFormatting="0" adjustColumnWidth="0" connectionId="11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外部資料_82" headers="0" backgroundRefresh="0" growShrinkType="overwriteClear" removeDataOnSave="1" preserveFormatting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外部資料_150" headers="0" backgroundRefresh="0" growShrinkType="overwriteClear" removeDataOnSave="1" preserveFormatting="0" adjustColumnWidth="0" connectionId="14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外部資料_148" headers="0" backgroundRefresh="0" growShrinkType="overwriteClear" removeDataOnSave="1" preserveFormatting="0" adjustColumnWidth="0" connectionId="1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外部資料_95" headers="0" backgroundRefresh="0" growShrinkType="overwriteClear" removeDataOnSave="1" preserveFormatting="0" adjustColumnWidth="0" connectionId="7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外部資料_128" headers="0" backgroundRefresh="0" growShrinkType="overwriteClear" removeDataOnSave="1" preserveFormatting="0" adjustColumnWidth="0" connectionId="11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外部資料_142" headers="0" backgroundRefresh="0" growShrinkType="overwriteClear" removeDataOnSave="1" preserveFormatting="0" adjustColumnWidth="0" connectionId="12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外部資料_54" headers="0" backgroundRefresh="0" growShrinkType="overwriteClear" removeDataOnSave="1" preserveFormatting="0" adjustColumnWidth="0" connectionId="21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外部資料_124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外部資料_1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外部資料_81" headers="0" growShrinkType="overwriteClear" fillFormulas="1" connectionId="1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外部資料_79" headers="0" growShrinkType="overwriteClear" fillFormulas="1" connectionId="13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外部資料_83" headers="0" growShrinkType="overwriteClear" fillFormulas="1" connectionId="13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外部資料_85" headers="0" growShrinkType="overwriteClear" fillFormulas="1" connectionId="1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外部資料_80" headers="0" growShrinkType="overwriteClear" fillFormulas="1" connectionId="13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外部資料_78" headers="0" growShrinkType="overwriteClear" fillFormulas="1" connectionId="13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外部資料_84" headers="0" growShrinkType="overwriteClear" fillFormulas="1" connectionId="1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外部資料_82" headers="0" growShrinkType="overwriteClear" fillFormulas="1" connectionId="13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外部資料_733" headers="0" growShrinkType="insertClear" fillFormulas="1" connectionId="18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外部資料_735" headers="0" growShrinkType="insertClear" fillFormulas="1" connectionId="19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外部資料_734" headers="0" growShrinkType="insertClear" fillFormulas="1" connectionId="185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外部資料_737" headers="0" growShrinkType="insertClear" fillFormulas="1" connectionId="19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外部資料_739" headers="0" growShrinkType="insertClear" fillFormulas="1" connectionId="19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外部資料_738" headers="0" growShrinkType="insertClear" fillFormulas="1" connectionId="1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外部資料_591" headers="0" growShrinkType="insertClear" fillFormulas="1" connectionId="2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外部資料_590" headers="0" growShrinkType="insertClear" fillFormulas="1" connectionId="2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外部資料_589" headers="0" growShrinkType="insertClear" fillFormulas="1" connectionId="2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4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3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3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5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5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6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4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4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3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3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6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4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5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5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5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48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3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4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5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5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6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4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4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4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3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5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5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5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3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hyperlink" Target="https://tw.stock.yahoo.com/pf/pfsel?stocklist=3008;" TargetMode="Externa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mments" Target="../comments2.xml"/><Relationship Id="rId5" Type="http://schemas.openxmlformats.org/officeDocument/2006/relationships/hyperlink" Target="https://tw.rd.yahoo.com/referurl/stock/other/SIG=125v47s73/**https:/tw.screener.finance.yahoo.net/screener/check.html?symid=3008" TargetMode="External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drawing" Target="../drawings/drawing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hyperlink" Target="https://tw.stock.yahoo.com/pf/pfsel?stocklist=3008;" TargetMode="Externa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1" Type="http://schemas.openxmlformats.org/officeDocument/2006/relationships/hyperlink" Target="https://tw.stock.yahoo.com/q/bc?s=3008" TargetMode="External"/><Relationship Id="rId6" Type="http://schemas.openxmlformats.org/officeDocument/2006/relationships/hyperlink" Target="javascript:%20CheckP(document.orderform,%20'Z',%20'/fcgi-bin/orderpage.fcg');" TargetMode="Externa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hyperlink" Target="https://tw.stock.yahoo.com/q/ts?s=3008" TargetMode="External"/><Relationship Id="rId9" Type="http://schemas.openxmlformats.org/officeDocument/2006/relationships/vmlDrawing" Target="../drawings/vmlDrawing3.v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printerSettings" Target="../printerSettings/printerSettings2.bin"/><Relationship Id="rId71" Type="http://schemas.openxmlformats.org/officeDocument/2006/relationships/image" Target="../media/image34.emf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4.xml"/><Relationship Id="rId21" Type="http://schemas.openxmlformats.org/officeDocument/2006/relationships/image" Target="../media/image44.emf"/><Relationship Id="rId42" Type="http://schemas.openxmlformats.org/officeDocument/2006/relationships/queryTable" Target="../queryTables/queryTable9.xml"/><Relationship Id="rId63" Type="http://schemas.openxmlformats.org/officeDocument/2006/relationships/queryTable" Target="../queryTables/queryTable30.xml"/><Relationship Id="rId84" Type="http://schemas.openxmlformats.org/officeDocument/2006/relationships/queryTable" Target="../queryTables/queryTable51.xml"/><Relationship Id="rId16" Type="http://schemas.openxmlformats.org/officeDocument/2006/relationships/control" Target="../activeX/activeX42.xml"/><Relationship Id="rId107" Type="http://schemas.openxmlformats.org/officeDocument/2006/relationships/queryTable" Target="../queryTables/queryTable74.xml"/><Relationship Id="rId11" Type="http://schemas.openxmlformats.org/officeDocument/2006/relationships/image" Target="../media/image39.emf"/><Relationship Id="rId32" Type="http://schemas.openxmlformats.org/officeDocument/2006/relationships/control" Target="../activeX/activeX50.xml"/><Relationship Id="rId37" Type="http://schemas.openxmlformats.org/officeDocument/2006/relationships/queryTable" Target="../queryTables/queryTable4.xml"/><Relationship Id="rId53" Type="http://schemas.openxmlformats.org/officeDocument/2006/relationships/queryTable" Target="../queryTables/queryTable20.xml"/><Relationship Id="rId58" Type="http://schemas.openxmlformats.org/officeDocument/2006/relationships/queryTable" Target="../queryTables/queryTable25.xml"/><Relationship Id="rId74" Type="http://schemas.openxmlformats.org/officeDocument/2006/relationships/queryTable" Target="../queryTables/queryTable41.xml"/><Relationship Id="rId79" Type="http://schemas.openxmlformats.org/officeDocument/2006/relationships/queryTable" Target="../queryTables/queryTable46.xml"/><Relationship Id="rId102" Type="http://schemas.openxmlformats.org/officeDocument/2006/relationships/queryTable" Target="../queryTables/queryTable69.xml"/><Relationship Id="rId123" Type="http://schemas.openxmlformats.org/officeDocument/2006/relationships/queryTable" Target="../queryTables/queryTable90.xml"/><Relationship Id="rId128" Type="http://schemas.openxmlformats.org/officeDocument/2006/relationships/queryTable" Target="../queryTables/queryTable95.xml"/><Relationship Id="rId5" Type="http://schemas.openxmlformats.org/officeDocument/2006/relationships/image" Target="../media/image36.emf"/><Relationship Id="rId90" Type="http://schemas.openxmlformats.org/officeDocument/2006/relationships/queryTable" Target="../queryTables/queryTable57.xml"/><Relationship Id="rId95" Type="http://schemas.openxmlformats.org/officeDocument/2006/relationships/queryTable" Target="../queryTables/queryTable62.xml"/><Relationship Id="rId22" Type="http://schemas.openxmlformats.org/officeDocument/2006/relationships/control" Target="../activeX/activeX45.xml"/><Relationship Id="rId27" Type="http://schemas.openxmlformats.org/officeDocument/2006/relationships/image" Target="../media/image47.emf"/><Relationship Id="rId43" Type="http://schemas.openxmlformats.org/officeDocument/2006/relationships/queryTable" Target="../queryTables/queryTable10.xml"/><Relationship Id="rId48" Type="http://schemas.openxmlformats.org/officeDocument/2006/relationships/queryTable" Target="../queryTables/queryTable15.xml"/><Relationship Id="rId64" Type="http://schemas.openxmlformats.org/officeDocument/2006/relationships/queryTable" Target="../queryTables/queryTable31.xml"/><Relationship Id="rId69" Type="http://schemas.openxmlformats.org/officeDocument/2006/relationships/queryTable" Target="../queryTables/queryTable36.xml"/><Relationship Id="rId113" Type="http://schemas.openxmlformats.org/officeDocument/2006/relationships/queryTable" Target="../queryTables/queryTable80.xml"/><Relationship Id="rId118" Type="http://schemas.openxmlformats.org/officeDocument/2006/relationships/queryTable" Target="../queryTables/queryTable85.xml"/><Relationship Id="rId80" Type="http://schemas.openxmlformats.org/officeDocument/2006/relationships/queryTable" Target="../queryTables/queryTable47.xml"/><Relationship Id="rId85" Type="http://schemas.openxmlformats.org/officeDocument/2006/relationships/queryTable" Target="../queryTables/queryTable52.xml"/><Relationship Id="rId12" Type="http://schemas.openxmlformats.org/officeDocument/2006/relationships/control" Target="../activeX/activeX40.xml"/><Relationship Id="rId17" Type="http://schemas.openxmlformats.org/officeDocument/2006/relationships/image" Target="../media/image42.emf"/><Relationship Id="rId33" Type="http://schemas.openxmlformats.org/officeDocument/2006/relationships/image" Target="../media/image50.emf"/><Relationship Id="rId38" Type="http://schemas.openxmlformats.org/officeDocument/2006/relationships/queryTable" Target="../queryTables/queryTable5.xml"/><Relationship Id="rId59" Type="http://schemas.openxmlformats.org/officeDocument/2006/relationships/queryTable" Target="../queryTables/queryTable26.xml"/><Relationship Id="rId103" Type="http://schemas.openxmlformats.org/officeDocument/2006/relationships/queryTable" Target="../queryTables/queryTable70.xml"/><Relationship Id="rId108" Type="http://schemas.openxmlformats.org/officeDocument/2006/relationships/queryTable" Target="../queryTables/queryTable75.xml"/><Relationship Id="rId124" Type="http://schemas.openxmlformats.org/officeDocument/2006/relationships/queryTable" Target="../queryTables/queryTable91.xml"/><Relationship Id="rId129" Type="http://schemas.openxmlformats.org/officeDocument/2006/relationships/queryTable" Target="../queryTables/queryTable96.xml"/><Relationship Id="rId54" Type="http://schemas.openxmlformats.org/officeDocument/2006/relationships/queryTable" Target="../queryTables/queryTable21.xml"/><Relationship Id="rId70" Type="http://schemas.openxmlformats.org/officeDocument/2006/relationships/queryTable" Target="../queryTables/queryTable37.xml"/><Relationship Id="rId75" Type="http://schemas.openxmlformats.org/officeDocument/2006/relationships/queryTable" Target="../queryTables/queryTable42.xml"/><Relationship Id="rId91" Type="http://schemas.openxmlformats.org/officeDocument/2006/relationships/queryTable" Target="../queryTables/queryTable58.xml"/><Relationship Id="rId96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7.xml"/><Relationship Id="rId23" Type="http://schemas.openxmlformats.org/officeDocument/2006/relationships/image" Target="../media/image45.emf"/><Relationship Id="rId28" Type="http://schemas.openxmlformats.org/officeDocument/2006/relationships/control" Target="../activeX/activeX48.xml"/><Relationship Id="rId49" Type="http://schemas.openxmlformats.org/officeDocument/2006/relationships/queryTable" Target="../queryTables/queryTable16.xml"/><Relationship Id="rId114" Type="http://schemas.openxmlformats.org/officeDocument/2006/relationships/queryTable" Target="../queryTables/queryTable81.xml"/><Relationship Id="rId119" Type="http://schemas.openxmlformats.org/officeDocument/2006/relationships/queryTable" Target="../queryTables/queryTable86.xml"/><Relationship Id="rId44" Type="http://schemas.openxmlformats.org/officeDocument/2006/relationships/queryTable" Target="../queryTables/queryTable11.xml"/><Relationship Id="rId60" Type="http://schemas.openxmlformats.org/officeDocument/2006/relationships/queryTable" Target="../queryTables/queryTable27.xml"/><Relationship Id="rId65" Type="http://schemas.openxmlformats.org/officeDocument/2006/relationships/queryTable" Target="../queryTables/queryTable32.xml"/><Relationship Id="rId81" Type="http://schemas.openxmlformats.org/officeDocument/2006/relationships/queryTable" Target="../queryTables/queryTable48.xml"/><Relationship Id="rId86" Type="http://schemas.openxmlformats.org/officeDocument/2006/relationships/queryTable" Target="../queryTables/queryTable53.xml"/><Relationship Id="rId130" Type="http://schemas.openxmlformats.org/officeDocument/2006/relationships/queryTable" Target="../queryTables/queryTable97.xml"/><Relationship Id="rId13" Type="http://schemas.openxmlformats.org/officeDocument/2006/relationships/image" Target="../media/image40.emf"/><Relationship Id="rId18" Type="http://schemas.openxmlformats.org/officeDocument/2006/relationships/control" Target="../activeX/activeX43.xml"/><Relationship Id="rId39" Type="http://schemas.openxmlformats.org/officeDocument/2006/relationships/queryTable" Target="../queryTables/queryTable6.xml"/><Relationship Id="rId109" Type="http://schemas.openxmlformats.org/officeDocument/2006/relationships/queryTable" Target="../queryTables/queryTable76.xml"/><Relationship Id="rId34" Type="http://schemas.openxmlformats.org/officeDocument/2006/relationships/queryTable" Target="../queryTables/queryTable1.xml"/><Relationship Id="rId50" Type="http://schemas.openxmlformats.org/officeDocument/2006/relationships/queryTable" Target="../queryTables/queryTable17.xml"/><Relationship Id="rId55" Type="http://schemas.openxmlformats.org/officeDocument/2006/relationships/queryTable" Target="../queryTables/queryTable22.xml"/><Relationship Id="rId76" Type="http://schemas.openxmlformats.org/officeDocument/2006/relationships/queryTable" Target="../queryTables/queryTable43.xml"/><Relationship Id="rId97" Type="http://schemas.openxmlformats.org/officeDocument/2006/relationships/queryTable" Target="../queryTables/queryTable64.xml"/><Relationship Id="rId104" Type="http://schemas.openxmlformats.org/officeDocument/2006/relationships/queryTable" Target="../queryTables/queryTable71.xml"/><Relationship Id="rId120" Type="http://schemas.openxmlformats.org/officeDocument/2006/relationships/queryTable" Target="../queryTables/queryTable87.xml"/><Relationship Id="rId125" Type="http://schemas.openxmlformats.org/officeDocument/2006/relationships/queryTable" Target="../queryTables/queryTable92.xml"/><Relationship Id="rId7" Type="http://schemas.openxmlformats.org/officeDocument/2006/relationships/image" Target="../media/image37.emf"/><Relationship Id="rId71" Type="http://schemas.openxmlformats.org/officeDocument/2006/relationships/queryTable" Target="../queryTables/queryTable38.xml"/><Relationship Id="rId92" Type="http://schemas.openxmlformats.org/officeDocument/2006/relationships/queryTable" Target="../queryTables/queryTable59.xml"/><Relationship Id="rId2" Type="http://schemas.openxmlformats.org/officeDocument/2006/relationships/drawing" Target="../drawings/drawing4.xml"/><Relationship Id="rId29" Type="http://schemas.openxmlformats.org/officeDocument/2006/relationships/image" Target="../media/image48.emf"/><Relationship Id="rId24" Type="http://schemas.openxmlformats.org/officeDocument/2006/relationships/control" Target="../activeX/activeX46.xml"/><Relationship Id="rId40" Type="http://schemas.openxmlformats.org/officeDocument/2006/relationships/queryTable" Target="../queryTables/queryTable7.xml"/><Relationship Id="rId45" Type="http://schemas.openxmlformats.org/officeDocument/2006/relationships/queryTable" Target="../queryTables/queryTable12.xml"/><Relationship Id="rId66" Type="http://schemas.openxmlformats.org/officeDocument/2006/relationships/queryTable" Target="../queryTables/queryTable33.xml"/><Relationship Id="rId87" Type="http://schemas.openxmlformats.org/officeDocument/2006/relationships/queryTable" Target="../queryTables/queryTable54.xml"/><Relationship Id="rId110" Type="http://schemas.openxmlformats.org/officeDocument/2006/relationships/queryTable" Target="../queryTables/queryTable77.xml"/><Relationship Id="rId115" Type="http://schemas.openxmlformats.org/officeDocument/2006/relationships/queryTable" Target="../queryTables/queryTable82.xml"/><Relationship Id="rId131" Type="http://schemas.openxmlformats.org/officeDocument/2006/relationships/queryTable" Target="../queryTables/queryTable98.xml"/><Relationship Id="rId61" Type="http://schemas.openxmlformats.org/officeDocument/2006/relationships/queryTable" Target="../queryTables/queryTable28.xml"/><Relationship Id="rId82" Type="http://schemas.openxmlformats.org/officeDocument/2006/relationships/queryTable" Target="../queryTables/queryTable49.xml"/><Relationship Id="rId19" Type="http://schemas.openxmlformats.org/officeDocument/2006/relationships/image" Target="../media/image43.emf"/><Relationship Id="rId14" Type="http://schemas.openxmlformats.org/officeDocument/2006/relationships/control" Target="../activeX/activeX41.xml"/><Relationship Id="rId30" Type="http://schemas.openxmlformats.org/officeDocument/2006/relationships/control" Target="../activeX/activeX49.xml"/><Relationship Id="rId35" Type="http://schemas.openxmlformats.org/officeDocument/2006/relationships/queryTable" Target="../queryTables/queryTable2.xml"/><Relationship Id="rId56" Type="http://schemas.openxmlformats.org/officeDocument/2006/relationships/queryTable" Target="../queryTables/queryTable23.xml"/><Relationship Id="rId77" Type="http://schemas.openxmlformats.org/officeDocument/2006/relationships/queryTable" Target="../queryTables/queryTable44.xml"/><Relationship Id="rId100" Type="http://schemas.openxmlformats.org/officeDocument/2006/relationships/queryTable" Target="../queryTables/queryTable67.xml"/><Relationship Id="rId105" Type="http://schemas.openxmlformats.org/officeDocument/2006/relationships/queryTable" Target="../queryTables/queryTable72.xml"/><Relationship Id="rId126" Type="http://schemas.openxmlformats.org/officeDocument/2006/relationships/queryTable" Target="../queryTables/queryTable93.xml"/><Relationship Id="rId8" Type="http://schemas.openxmlformats.org/officeDocument/2006/relationships/control" Target="../activeX/activeX38.xml"/><Relationship Id="rId51" Type="http://schemas.openxmlformats.org/officeDocument/2006/relationships/queryTable" Target="../queryTables/queryTable18.xml"/><Relationship Id="rId72" Type="http://schemas.openxmlformats.org/officeDocument/2006/relationships/queryTable" Target="../queryTables/queryTable39.xml"/><Relationship Id="rId93" Type="http://schemas.openxmlformats.org/officeDocument/2006/relationships/queryTable" Target="../queryTables/queryTable60.xml"/><Relationship Id="rId98" Type="http://schemas.openxmlformats.org/officeDocument/2006/relationships/queryTable" Target="../queryTables/queryTable65.xml"/><Relationship Id="rId121" Type="http://schemas.openxmlformats.org/officeDocument/2006/relationships/queryTable" Target="../queryTables/queryTable88.xml"/><Relationship Id="rId3" Type="http://schemas.openxmlformats.org/officeDocument/2006/relationships/vmlDrawing" Target="../drawings/vmlDrawing4.vml"/><Relationship Id="rId25" Type="http://schemas.openxmlformats.org/officeDocument/2006/relationships/image" Target="../media/image46.emf"/><Relationship Id="rId46" Type="http://schemas.openxmlformats.org/officeDocument/2006/relationships/queryTable" Target="../queryTables/queryTable13.xml"/><Relationship Id="rId67" Type="http://schemas.openxmlformats.org/officeDocument/2006/relationships/queryTable" Target="../queryTables/queryTable34.xml"/><Relationship Id="rId116" Type="http://schemas.openxmlformats.org/officeDocument/2006/relationships/queryTable" Target="../queryTables/queryTable83.xml"/><Relationship Id="rId20" Type="http://schemas.openxmlformats.org/officeDocument/2006/relationships/control" Target="../activeX/activeX44.xml"/><Relationship Id="rId41" Type="http://schemas.openxmlformats.org/officeDocument/2006/relationships/queryTable" Target="../queryTables/queryTable8.xml"/><Relationship Id="rId62" Type="http://schemas.openxmlformats.org/officeDocument/2006/relationships/queryTable" Target="../queryTables/queryTable29.xml"/><Relationship Id="rId83" Type="http://schemas.openxmlformats.org/officeDocument/2006/relationships/queryTable" Target="../queryTables/queryTable50.xml"/><Relationship Id="rId88" Type="http://schemas.openxmlformats.org/officeDocument/2006/relationships/queryTable" Target="../queryTables/queryTable55.xml"/><Relationship Id="rId111" Type="http://schemas.openxmlformats.org/officeDocument/2006/relationships/queryTable" Target="../queryTables/queryTable78.xml"/><Relationship Id="rId132" Type="http://schemas.openxmlformats.org/officeDocument/2006/relationships/queryTable" Target="../queryTables/queryTable99.xml"/><Relationship Id="rId15" Type="http://schemas.openxmlformats.org/officeDocument/2006/relationships/image" Target="../media/image41.emf"/><Relationship Id="rId36" Type="http://schemas.openxmlformats.org/officeDocument/2006/relationships/queryTable" Target="../queryTables/queryTable3.xml"/><Relationship Id="rId57" Type="http://schemas.openxmlformats.org/officeDocument/2006/relationships/queryTable" Target="../queryTables/queryTable24.xml"/><Relationship Id="rId106" Type="http://schemas.openxmlformats.org/officeDocument/2006/relationships/queryTable" Target="../queryTables/queryTable73.xml"/><Relationship Id="rId127" Type="http://schemas.openxmlformats.org/officeDocument/2006/relationships/queryTable" Target="../queryTables/queryTable94.xml"/><Relationship Id="rId10" Type="http://schemas.openxmlformats.org/officeDocument/2006/relationships/control" Target="../activeX/activeX39.xml"/><Relationship Id="rId31" Type="http://schemas.openxmlformats.org/officeDocument/2006/relationships/image" Target="../media/image49.emf"/><Relationship Id="rId52" Type="http://schemas.openxmlformats.org/officeDocument/2006/relationships/queryTable" Target="../queryTables/queryTable19.xml"/><Relationship Id="rId73" Type="http://schemas.openxmlformats.org/officeDocument/2006/relationships/queryTable" Target="../queryTables/queryTable40.xml"/><Relationship Id="rId78" Type="http://schemas.openxmlformats.org/officeDocument/2006/relationships/queryTable" Target="../queryTables/queryTable45.xml"/><Relationship Id="rId94" Type="http://schemas.openxmlformats.org/officeDocument/2006/relationships/queryTable" Target="../queryTables/queryTable61.xml"/><Relationship Id="rId99" Type="http://schemas.openxmlformats.org/officeDocument/2006/relationships/queryTable" Target="../queryTables/queryTable66.xml"/><Relationship Id="rId101" Type="http://schemas.openxmlformats.org/officeDocument/2006/relationships/queryTable" Target="../queryTables/queryTable68.xml"/><Relationship Id="rId122" Type="http://schemas.openxmlformats.org/officeDocument/2006/relationships/queryTable" Target="../queryTables/queryTable8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26" Type="http://schemas.openxmlformats.org/officeDocument/2006/relationships/control" Target="../activeX/activeX47.xml"/><Relationship Id="rId47" Type="http://schemas.openxmlformats.org/officeDocument/2006/relationships/queryTable" Target="../queryTables/queryTable14.xml"/><Relationship Id="rId68" Type="http://schemas.openxmlformats.org/officeDocument/2006/relationships/queryTable" Target="../queryTables/queryTable35.xml"/><Relationship Id="rId89" Type="http://schemas.openxmlformats.org/officeDocument/2006/relationships/queryTable" Target="../queryTables/queryTable56.xml"/><Relationship Id="rId112" Type="http://schemas.openxmlformats.org/officeDocument/2006/relationships/queryTable" Target="../queryTables/queryTable79.xml"/><Relationship Id="rId133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56.xml"/><Relationship Id="rId21" Type="http://schemas.openxmlformats.org/officeDocument/2006/relationships/hyperlink" Target="https://www.stockdog.com.tw/m/index.php?type=0&amp;sid=1802" TargetMode="External"/><Relationship Id="rId42" Type="http://schemas.openxmlformats.org/officeDocument/2006/relationships/hyperlink" Target="https://www.stockdog.com.tw/m/index.php?type=0&amp;sid=3004" TargetMode="External"/><Relationship Id="rId47" Type="http://schemas.openxmlformats.org/officeDocument/2006/relationships/hyperlink" Target="https://www.stockdog.com.tw/m/index.php?type=0&amp;sid=3060" TargetMode="External"/><Relationship Id="rId63" Type="http://schemas.openxmlformats.org/officeDocument/2006/relationships/hyperlink" Target="https://www.stockdog.com.tw/m/index.php?type=0&amp;sid=3663" TargetMode="External"/><Relationship Id="rId68" Type="http://schemas.openxmlformats.org/officeDocument/2006/relationships/hyperlink" Target="https://www.stockdog.com.tw/m/index.php?type=0&amp;sid=4173" TargetMode="External"/><Relationship Id="rId84" Type="http://schemas.openxmlformats.org/officeDocument/2006/relationships/hyperlink" Target="https://www.stockdog.com.tw/m/index.php?type=0&amp;sid=6142" TargetMode="External"/><Relationship Id="rId89" Type="http://schemas.openxmlformats.org/officeDocument/2006/relationships/hyperlink" Target="https://www.stockdog.com.tw/m/index.php?type=0&amp;sid=6294" TargetMode="External"/><Relationship Id="rId112" Type="http://schemas.openxmlformats.org/officeDocument/2006/relationships/image" Target="../media/image53.emf"/><Relationship Id="rId16" Type="http://schemas.openxmlformats.org/officeDocument/2006/relationships/hyperlink" Target="https://www.stockdog.com.tw/m/index.php?type=0&amp;sid=1565" TargetMode="External"/><Relationship Id="rId107" Type="http://schemas.openxmlformats.org/officeDocument/2006/relationships/control" Target="../activeX/activeX51.xml"/><Relationship Id="rId11" Type="http://schemas.openxmlformats.org/officeDocument/2006/relationships/hyperlink" Target="https://www.stockdog.com.tw/m/index.php?type=0&amp;sid=1339" TargetMode="External"/><Relationship Id="rId32" Type="http://schemas.openxmlformats.org/officeDocument/2006/relationships/hyperlink" Target="https://www.stockdog.com.tw/m/index.php?type=0&amp;sid=2387" TargetMode="External"/><Relationship Id="rId37" Type="http://schemas.openxmlformats.org/officeDocument/2006/relationships/hyperlink" Target="https://www.stockdog.com.tw/m/index.php?type=0&amp;sid=2705" TargetMode="External"/><Relationship Id="rId53" Type="http://schemas.openxmlformats.org/officeDocument/2006/relationships/hyperlink" Target="https://www.stockdog.com.tw/m/index.php?type=0&amp;sid=3379" TargetMode="External"/><Relationship Id="rId58" Type="http://schemas.openxmlformats.org/officeDocument/2006/relationships/hyperlink" Target="https://www.stockdog.com.tw/m/index.php?type=0&amp;sid=3528" TargetMode="External"/><Relationship Id="rId74" Type="http://schemas.openxmlformats.org/officeDocument/2006/relationships/hyperlink" Target="https://www.stockdog.com.tw/m/index.php?type=0&amp;sid=4991" TargetMode="External"/><Relationship Id="rId79" Type="http://schemas.openxmlformats.org/officeDocument/2006/relationships/hyperlink" Target="https://www.stockdog.com.tw/m/index.php?type=0&amp;sid=5371" TargetMode="External"/><Relationship Id="rId102" Type="http://schemas.openxmlformats.org/officeDocument/2006/relationships/hyperlink" Target="https://www.stockdog.com.tw/m/index.php?type=0&amp;sid=9943" TargetMode="External"/><Relationship Id="rId123" Type="http://schemas.openxmlformats.org/officeDocument/2006/relationships/control" Target="../activeX/activeX59.xml"/><Relationship Id="rId128" Type="http://schemas.openxmlformats.org/officeDocument/2006/relationships/image" Target="../media/image61.emf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hyperlink" Target="https://www.stockdog.com.tw/m/index.php?type=0&amp;sid=6404" TargetMode="External"/><Relationship Id="rId95" Type="http://schemas.openxmlformats.org/officeDocument/2006/relationships/hyperlink" Target="https://www.stockdog.com.tw/m/index.php?type=0&amp;sid=8049" TargetMode="External"/><Relationship Id="rId22" Type="http://schemas.openxmlformats.org/officeDocument/2006/relationships/hyperlink" Target="https://www.stockdog.com.tw/m/index.php?type=0&amp;sid=2066" TargetMode="External"/><Relationship Id="rId27" Type="http://schemas.openxmlformats.org/officeDocument/2006/relationships/hyperlink" Target="https://www.stockdog.com.tw/m/index.php?type=0&amp;sid=2340" TargetMode="External"/><Relationship Id="rId43" Type="http://schemas.openxmlformats.org/officeDocument/2006/relationships/hyperlink" Target="https://www.stockdog.com.tw/m/index.php?type=0&amp;sid=3014" TargetMode="External"/><Relationship Id="rId48" Type="http://schemas.openxmlformats.org/officeDocument/2006/relationships/hyperlink" Target="https://www.stockdog.com.tw/m/index.php?type=0&amp;sid=3122" TargetMode="External"/><Relationship Id="rId64" Type="http://schemas.openxmlformats.org/officeDocument/2006/relationships/hyperlink" Target="https://www.stockdog.com.tw/m/index.php?type=0&amp;sid=3693" TargetMode="External"/><Relationship Id="rId69" Type="http://schemas.openxmlformats.org/officeDocument/2006/relationships/hyperlink" Target="https://www.stockdog.com.tw/m/index.php?type=0&amp;sid=4401" TargetMode="External"/><Relationship Id="rId113" Type="http://schemas.openxmlformats.org/officeDocument/2006/relationships/control" Target="../activeX/activeX54.xml"/><Relationship Id="rId118" Type="http://schemas.openxmlformats.org/officeDocument/2006/relationships/image" Target="../media/image56.emf"/><Relationship Id="rId80" Type="http://schemas.openxmlformats.org/officeDocument/2006/relationships/hyperlink" Target="https://www.stockdog.com.tw/m/index.php?type=0&amp;sid=5392" TargetMode="External"/><Relationship Id="rId85" Type="http://schemas.openxmlformats.org/officeDocument/2006/relationships/hyperlink" Target="https://www.stockdog.com.tw/m/index.php?type=0&amp;sid=6196" TargetMode="External"/><Relationship Id="rId12" Type="http://schemas.openxmlformats.org/officeDocument/2006/relationships/hyperlink" Target="https://www.stockdog.com.tw/m/index.php?type=0&amp;sid=1340" TargetMode="External"/><Relationship Id="rId17" Type="http://schemas.openxmlformats.org/officeDocument/2006/relationships/hyperlink" Target="https://www.stockdog.com.tw/m/index.php?type=0&amp;sid=1599" TargetMode="External"/><Relationship Id="rId33" Type="http://schemas.openxmlformats.org/officeDocument/2006/relationships/hyperlink" Target="https://www.stockdog.com.tw/m/index.php?type=0&amp;sid=2483" TargetMode="External"/><Relationship Id="rId38" Type="http://schemas.openxmlformats.org/officeDocument/2006/relationships/hyperlink" Target="https://www.stockdog.com.tw/m/index.php?type=0&amp;sid=2707" TargetMode="External"/><Relationship Id="rId59" Type="http://schemas.openxmlformats.org/officeDocument/2006/relationships/hyperlink" Target="https://www.stockdog.com.tw/m/index.php?type=0&amp;sid=3535" TargetMode="External"/><Relationship Id="rId103" Type="http://schemas.openxmlformats.org/officeDocument/2006/relationships/hyperlink" Target="https://www.stockdog.com.tw/m/index.php?type=0&amp;sid=9945" TargetMode="External"/><Relationship Id="rId108" Type="http://schemas.openxmlformats.org/officeDocument/2006/relationships/image" Target="../media/image51.emf"/><Relationship Id="rId124" Type="http://schemas.openxmlformats.org/officeDocument/2006/relationships/image" Target="../media/image59.emf"/><Relationship Id="rId129" Type="http://schemas.openxmlformats.org/officeDocument/2006/relationships/control" Target="../activeX/activeX62.xml"/><Relationship Id="rId54" Type="http://schemas.openxmlformats.org/officeDocument/2006/relationships/hyperlink" Target="https://www.stockdog.com.tw/m/index.php?type=0&amp;sid=3441" TargetMode="External"/><Relationship Id="rId70" Type="http://schemas.openxmlformats.org/officeDocument/2006/relationships/hyperlink" Target="https://www.stockdog.com.tw/m/index.php?type=0&amp;sid=4725" TargetMode="External"/><Relationship Id="rId75" Type="http://schemas.openxmlformats.org/officeDocument/2006/relationships/hyperlink" Target="https://www.stockdog.com.tw/m/index.php?type=0&amp;sid=5210" TargetMode="External"/><Relationship Id="rId91" Type="http://schemas.openxmlformats.org/officeDocument/2006/relationships/hyperlink" Target="https://www.stockdog.com.tw/m/index.php?type=0&amp;sid=6409" TargetMode="External"/><Relationship Id="rId96" Type="http://schemas.openxmlformats.org/officeDocument/2006/relationships/hyperlink" Target="https://www.stockdog.com.tw/m/index.php?type=0&amp;sid=8064" TargetMode="Externa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23" Type="http://schemas.openxmlformats.org/officeDocument/2006/relationships/hyperlink" Target="https://www.stockdog.com.tw/m/index.php?type=0&amp;sid=2231" TargetMode="External"/><Relationship Id="rId28" Type="http://schemas.openxmlformats.org/officeDocument/2006/relationships/hyperlink" Target="https://www.stockdog.com.tw/m/index.php?type=0&amp;sid=2344" TargetMode="External"/><Relationship Id="rId49" Type="http://schemas.openxmlformats.org/officeDocument/2006/relationships/hyperlink" Target="https://www.stockdog.com.tw/m/index.php?type=0&amp;sid=3152" TargetMode="External"/><Relationship Id="rId114" Type="http://schemas.openxmlformats.org/officeDocument/2006/relationships/image" Target="../media/image54.emf"/><Relationship Id="rId119" Type="http://schemas.openxmlformats.org/officeDocument/2006/relationships/control" Target="../activeX/activeX57.xml"/><Relationship Id="rId44" Type="http://schemas.openxmlformats.org/officeDocument/2006/relationships/hyperlink" Target="https://www.stockdog.com.tw/m/index.php?type=0&amp;sid=3017" TargetMode="External"/><Relationship Id="rId60" Type="http://schemas.openxmlformats.org/officeDocument/2006/relationships/hyperlink" Target="https://www.stockdog.com.tw/m/index.php?type=0&amp;sid=3552" TargetMode="External"/><Relationship Id="rId65" Type="http://schemas.openxmlformats.org/officeDocument/2006/relationships/hyperlink" Target="https://www.stockdog.com.tw/m/index.php?type=0&amp;sid=4104" TargetMode="External"/><Relationship Id="rId81" Type="http://schemas.openxmlformats.org/officeDocument/2006/relationships/hyperlink" Target="https://www.stockdog.com.tw/m/index.php?type=0&amp;sid=5536" TargetMode="External"/><Relationship Id="rId86" Type="http://schemas.openxmlformats.org/officeDocument/2006/relationships/hyperlink" Target="https://www.stockdog.com.tw/m/index.php?type=0&amp;sid=6266" TargetMode="External"/><Relationship Id="rId130" Type="http://schemas.openxmlformats.org/officeDocument/2006/relationships/image" Target="../media/image62.emf"/><Relationship Id="rId13" Type="http://schemas.openxmlformats.org/officeDocument/2006/relationships/hyperlink" Target="https://www.stockdog.com.tw/m/index.php?type=0&amp;sid=1455" TargetMode="External"/><Relationship Id="rId18" Type="http://schemas.openxmlformats.org/officeDocument/2006/relationships/hyperlink" Target="https://www.stockdog.com.tw/m/index.php?type=0&amp;sid=1714" TargetMode="External"/><Relationship Id="rId39" Type="http://schemas.openxmlformats.org/officeDocument/2006/relationships/hyperlink" Target="https://www.stockdog.com.tw/m/index.php?type=0&amp;sid=2723" TargetMode="External"/><Relationship Id="rId109" Type="http://schemas.openxmlformats.org/officeDocument/2006/relationships/control" Target="../activeX/activeX52.xml"/><Relationship Id="rId34" Type="http://schemas.openxmlformats.org/officeDocument/2006/relationships/hyperlink" Target="https://www.stockdog.com.tw/m/index.php?type=0&amp;sid=2493" TargetMode="External"/><Relationship Id="rId50" Type="http://schemas.openxmlformats.org/officeDocument/2006/relationships/hyperlink" Target="https://www.stockdog.com.tw/m/index.php?type=0&amp;sid=3169" TargetMode="External"/><Relationship Id="rId55" Type="http://schemas.openxmlformats.org/officeDocument/2006/relationships/hyperlink" Target="https://www.stockdog.com.tw/m/index.php?type=0&amp;sid=3450" TargetMode="External"/><Relationship Id="rId76" Type="http://schemas.openxmlformats.org/officeDocument/2006/relationships/hyperlink" Target="https://www.stockdog.com.tw/m/index.php?type=0&amp;sid=5309" TargetMode="External"/><Relationship Id="rId97" Type="http://schemas.openxmlformats.org/officeDocument/2006/relationships/hyperlink" Target="https://www.stockdog.com.tw/m/index.php?type=0&amp;sid=8150" TargetMode="External"/><Relationship Id="rId104" Type="http://schemas.openxmlformats.org/officeDocument/2006/relationships/printerSettings" Target="../printerSettings/printerSettings4.bin"/><Relationship Id="rId120" Type="http://schemas.openxmlformats.org/officeDocument/2006/relationships/image" Target="../media/image57.emf"/><Relationship Id="rId125" Type="http://schemas.openxmlformats.org/officeDocument/2006/relationships/control" Target="../activeX/activeX60.xml"/><Relationship Id="rId7" Type="http://schemas.openxmlformats.org/officeDocument/2006/relationships/hyperlink" Target="https://www.stockdog.com.tw/m/index.php?type=0&amp;sid=1301" TargetMode="External"/><Relationship Id="rId71" Type="http://schemas.openxmlformats.org/officeDocument/2006/relationships/hyperlink" Target="https://www.stockdog.com.tw/m/index.php?type=0&amp;sid=4934" TargetMode="External"/><Relationship Id="rId92" Type="http://schemas.openxmlformats.org/officeDocument/2006/relationships/hyperlink" Target="https://www.stockdog.com.tw/m/index.php?type=0&amp;sid=6414" TargetMode="Externa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hyperlink" Target="https://www.stockdog.com.tw/m/index.php?type=0&amp;sid=2362" TargetMode="External"/><Relationship Id="rId24" Type="http://schemas.openxmlformats.org/officeDocument/2006/relationships/hyperlink" Target="https://www.stockdog.com.tw/m/index.php?type=0&amp;sid=2301" TargetMode="External"/><Relationship Id="rId40" Type="http://schemas.openxmlformats.org/officeDocument/2006/relationships/hyperlink" Target="https://www.stockdog.com.tw/m/index.php?type=0&amp;sid=2856" TargetMode="External"/><Relationship Id="rId45" Type="http://schemas.openxmlformats.org/officeDocument/2006/relationships/hyperlink" Target="https://www.stockdog.com.tw/m/index.php?type=0&amp;sid=3031" TargetMode="External"/><Relationship Id="rId66" Type="http://schemas.openxmlformats.org/officeDocument/2006/relationships/hyperlink" Target="https://www.stockdog.com.tw/m/index.php?type=0&amp;sid=4137" TargetMode="External"/><Relationship Id="rId87" Type="http://schemas.openxmlformats.org/officeDocument/2006/relationships/hyperlink" Target="https://www.stockdog.com.tw/m/index.php?type=0&amp;sid=6278" TargetMode="External"/><Relationship Id="rId110" Type="http://schemas.openxmlformats.org/officeDocument/2006/relationships/image" Target="../media/image52.emf"/><Relationship Id="rId115" Type="http://schemas.openxmlformats.org/officeDocument/2006/relationships/control" Target="../activeX/activeX55.xml"/><Relationship Id="rId61" Type="http://schemas.openxmlformats.org/officeDocument/2006/relationships/hyperlink" Target="https://www.stockdog.com.tw/m/index.php?type=0&amp;sid=3556" TargetMode="External"/><Relationship Id="rId82" Type="http://schemas.openxmlformats.org/officeDocument/2006/relationships/hyperlink" Target="https://www.stockdog.com.tw/m/index.php?type=0&amp;sid=6005" TargetMode="External"/><Relationship Id="rId19" Type="http://schemas.openxmlformats.org/officeDocument/2006/relationships/hyperlink" Target="https://www.stockdog.com.tw/m/index.php?type=0&amp;sid=1781" TargetMode="External"/><Relationship Id="rId14" Type="http://schemas.openxmlformats.org/officeDocument/2006/relationships/hyperlink" Target="https://www.stockdog.com.tw/m/index.php?type=0&amp;sid=1464" TargetMode="External"/><Relationship Id="rId30" Type="http://schemas.openxmlformats.org/officeDocument/2006/relationships/hyperlink" Target="https://www.stockdog.com.tw/m/index.php?type=0&amp;sid=2376" TargetMode="External"/><Relationship Id="rId35" Type="http://schemas.openxmlformats.org/officeDocument/2006/relationships/hyperlink" Target="https://www.stockdog.com.tw/m/index.php?type=0&amp;sid=2515" TargetMode="External"/><Relationship Id="rId56" Type="http://schemas.openxmlformats.org/officeDocument/2006/relationships/hyperlink" Target="https://www.stockdog.com.tw/m/index.php?type=0&amp;sid=3494" TargetMode="External"/><Relationship Id="rId77" Type="http://schemas.openxmlformats.org/officeDocument/2006/relationships/hyperlink" Target="https://www.stockdog.com.tw/m/index.php?type=0&amp;sid=5347" TargetMode="External"/><Relationship Id="rId100" Type="http://schemas.openxmlformats.org/officeDocument/2006/relationships/hyperlink" Target="https://www.stockdog.com.tw/m/index.php?type=0&amp;sid=8403" TargetMode="External"/><Relationship Id="rId105" Type="http://schemas.openxmlformats.org/officeDocument/2006/relationships/drawing" Target="../drawings/drawing5.xml"/><Relationship Id="rId126" Type="http://schemas.openxmlformats.org/officeDocument/2006/relationships/image" Target="../media/image60.emf"/><Relationship Id="rId8" Type="http://schemas.openxmlformats.org/officeDocument/2006/relationships/hyperlink" Target="https://www.stockdog.com.tw/m/index.php?type=0&amp;sid=1305" TargetMode="External"/><Relationship Id="rId51" Type="http://schemas.openxmlformats.org/officeDocument/2006/relationships/hyperlink" Target="https://www.stockdog.com.tw/m/index.php?type=0&amp;sid=3202" TargetMode="External"/><Relationship Id="rId72" Type="http://schemas.openxmlformats.org/officeDocument/2006/relationships/hyperlink" Target="https://www.stockdog.com.tw/m/index.php?type=0&amp;sid=4947" TargetMode="External"/><Relationship Id="rId93" Type="http://schemas.openxmlformats.org/officeDocument/2006/relationships/hyperlink" Target="https://www.stockdog.com.tw/m/index.php?type=0&amp;sid=6426" TargetMode="External"/><Relationship Id="rId98" Type="http://schemas.openxmlformats.org/officeDocument/2006/relationships/hyperlink" Target="https://www.stockdog.com.tw/m/index.php?type=0&amp;sid=8182" TargetMode="External"/><Relationship Id="rId121" Type="http://schemas.openxmlformats.org/officeDocument/2006/relationships/control" Target="../activeX/activeX58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hyperlink" Target="https://www.stockdog.com.tw/m/index.php?type=0&amp;sid=2328" TargetMode="External"/><Relationship Id="rId46" Type="http://schemas.openxmlformats.org/officeDocument/2006/relationships/hyperlink" Target="https://www.stockdog.com.tw/m/index.php?type=0&amp;sid=3050" TargetMode="External"/><Relationship Id="rId67" Type="http://schemas.openxmlformats.org/officeDocument/2006/relationships/hyperlink" Target="https://www.stockdog.com.tw/m/index.php?type=0&amp;sid=4141" TargetMode="External"/><Relationship Id="rId116" Type="http://schemas.openxmlformats.org/officeDocument/2006/relationships/image" Target="../media/image55.emf"/><Relationship Id="rId20" Type="http://schemas.openxmlformats.org/officeDocument/2006/relationships/hyperlink" Target="https://www.stockdog.com.tw/m/index.php?type=0&amp;sid=1799" TargetMode="External"/><Relationship Id="rId41" Type="http://schemas.openxmlformats.org/officeDocument/2006/relationships/hyperlink" Target="https://www.stockdog.com.tw/m/index.php?type=0&amp;sid=2885" TargetMode="External"/><Relationship Id="rId62" Type="http://schemas.openxmlformats.org/officeDocument/2006/relationships/hyperlink" Target="https://www.stockdog.com.tw/m/index.php?type=0&amp;sid=3605" TargetMode="External"/><Relationship Id="rId83" Type="http://schemas.openxmlformats.org/officeDocument/2006/relationships/hyperlink" Target="https://www.stockdog.com.tw/m/index.php?type=0&amp;sid=6114" TargetMode="External"/><Relationship Id="rId88" Type="http://schemas.openxmlformats.org/officeDocument/2006/relationships/hyperlink" Target="https://www.stockdog.com.tw/m/index.php?type=0&amp;sid=6282" TargetMode="External"/><Relationship Id="rId111" Type="http://schemas.openxmlformats.org/officeDocument/2006/relationships/control" Target="../activeX/activeX53.xml"/><Relationship Id="rId15" Type="http://schemas.openxmlformats.org/officeDocument/2006/relationships/hyperlink" Target="https://www.stockdog.com.tw/m/index.php?type=0&amp;sid=1537" TargetMode="External"/><Relationship Id="rId36" Type="http://schemas.openxmlformats.org/officeDocument/2006/relationships/hyperlink" Target="https://www.stockdog.com.tw/m/index.php?type=0&amp;sid=2548" TargetMode="External"/><Relationship Id="rId57" Type="http://schemas.openxmlformats.org/officeDocument/2006/relationships/hyperlink" Target="https://www.stockdog.com.tw/m/index.php?type=0&amp;sid=3499" TargetMode="External"/><Relationship Id="rId106" Type="http://schemas.openxmlformats.org/officeDocument/2006/relationships/vmlDrawing" Target="../drawings/vmlDrawing5.vml"/><Relationship Id="rId127" Type="http://schemas.openxmlformats.org/officeDocument/2006/relationships/control" Target="../activeX/activeX61.xml"/><Relationship Id="rId10" Type="http://schemas.openxmlformats.org/officeDocument/2006/relationships/hyperlink" Target="https://www.stockdog.com.tw/m/index.php?type=0&amp;sid=1337" TargetMode="External"/><Relationship Id="rId31" Type="http://schemas.openxmlformats.org/officeDocument/2006/relationships/hyperlink" Target="https://www.stockdog.com.tw/m/index.php?type=0&amp;sid=2377" TargetMode="External"/><Relationship Id="rId52" Type="http://schemas.openxmlformats.org/officeDocument/2006/relationships/hyperlink" Target="https://www.stockdog.com.tw/m/index.php?type=0&amp;sid=3284" TargetMode="External"/><Relationship Id="rId73" Type="http://schemas.openxmlformats.org/officeDocument/2006/relationships/hyperlink" Target="https://www.stockdog.com.tw/m/index.php?type=0&amp;sid=4960" TargetMode="External"/><Relationship Id="rId78" Type="http://schemas.openxmlformats.org/officeDocument/2006/relationships/hyperlink" Target="https://www.stockdog.com.tw/m/index.php?type=0&amp;sid=5349" TargetMode="External"/><Relationship Id="rId94" Type="http://schemas.openxmlformats.org/officeDocument/2006/relationships/hyperlink" Target="https://www.stockdog.com.tw/m/index.php?type=0&amp;sid=8043" TargetMode="External"/><Relationship Id="rId99" Type="http://schemas.openxmlformats.org/officeDocument/2006/relationships/hyperlink" Target="https://www.stockdog.com.tw/m/index.php?type=0&amp;sid=8249" TargetMode="External"/><Relationship Id="rId101" Type="http://schemas.openxmlformats.org/officeDocument/2006/relationships/hyperlink" Target="https://www.stockdog.com.tw/m/index.php?type=0&amp;sid=8420" TargetMode="External"/><Relationship Id="rId122" Type="http://schemas.openxmlformats.org/officeDocument/2006/relationships/image" Target="../media/image58.emf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s://www.stockdog.com.tw/m/index.php?type=0&amp;sid=1319" TargetMode="External"/><Relationship Id="rId26" Type="http://schemas.openxmlformats.org/officeDocument/2006/relationships/hyperlink" Target="https://www.stockdog.com.tw/m/index.php?type=0&amp;sid=2331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71.emf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69.xml"/><Relationship Id="rId20" Type="http://schemas.openxmlformats.org/officeDocument/2006/relationships/control" Target="../activeX/activeX7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6.emf"/><Relationship Id="rId18" Type="http://schemas.openxmlformats.org/officeDocument/2006/relationships/queryTable" Target="../queryTables/queryTable100.xml"/><Relationship Id="rId3" Type="http://schemas.openxmlformats.org/officeDocument/2006/relationships/vmlDrawing" Target="../drawings/vmlDrawing7.vml"/><Relationship Id="rId21" Type="http://schemas.openxmlformats.org/officeDocument/2006/relationships/queryTable" Target="../queryTables/queryTable103.xml"/><Relationship Id="rId7" Type="http://schemas.openxmlformats.org/officeDocument/2006/relationships/image" Target="../media/image73.emf"/><Relationship Id="rId12" Type="http://schemas.openxmlformats.org/officeDocument/2006/relationships/control" Target="../activeX/activeX76.xml"/><Relationship Id="rId17" Type="http://schemas.openxmlformats.org/officeDocument/2006/relationships/image" Target="../media/image78.emf"/><Relationship Id="rId25" Type="http://schemas.openxmlformats.org/officeDocument/2006/relationships/queryTable" Target="../queryTables/queryTable107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8.xml"/><Relationship Id="rId20" Type="http://schemas.openxmlformats.org/officeDocument/2006/relationships/queryTable" Target="../queryTables/queryTable10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3.xml"/><Relationship Id="rId11" Type="http://schemas.openxmlformats.org/officeDocument/2006/relationships/image" Target="../media/image75.emf"/><Relationship Id="rId24" Type="http://schemas.openxmlformats.org/officeDocument/2006/relationships/queryTable" Target="../queryTables/queryTable106.xml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23" Type="http://schemas.openxmlformats.org/officeDocument/2006/relationships/queryTable" Target="../queryTables/queryTable105.xml"/><Relationship Id="rId10" Type="http://schemas.openxmlformats.org/officeDocument/2006/relationships/control" Target="../activeX/activeX75.xml"/><Relationship Id="rId19" Type="http://schemas.openxmlformats.org/officeDocument/2006/relationships/queryTable" Target="../queryTables/queryTable101.xml"/><Relationship Id="rId4" Type="http://schemas.openxmlformats.org/officeDocument/2006/relationships/control" Target="../activeX/activeX72.xml"/><Relationship Id="rId9" Type="http://schemas.openxmlformats.org/officeDocument/2006/relationships/image" Target="../media/image74.emf"/><Relationship Id="rId14" Type="http://schemas.openxmlformats.org/officeDocument/2006/relationships/control" Target="../activeX/activeX77.xml"/><Relationship Id="rId22" Type="http://schemas.openxmlformats.org/officeDocument/2006/relationships/queryTable" Target="../queryTables/queryTable10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87.emf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8.emf"/><Relationship Id="rId4" Type="http://schemas.openxmlformats.org/officeDocument/2006/relationships/control" Target="../activeX/activeX8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1.emf"/><Relationship Id="rId3" Type="http://schemas.openxmlformats.org/officeDocument/2006/relationships/control" Target="../activeX/activeX89.xml"/><Relationship Id="rId7" Type="http://schemas.openxmlformats.org/officeDocument/2006/relationships/control" Target="../activeX/activeX91.xml"/><Relationship Id="rId12" Type="http://schemas.openxmlformats.org/officeDocument/2006/relationships/image" Target="../media/image93.emf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90.emf"/><Relationship Id="rId11" Type="http://schemas.openxmlformats.org/officeDocument/2006/relationships/control" Target="../activeX/activeX93.xml"/><Relationship Id="rId5" Type="http://schemas.openxmlformats.org/officeDocument/2006/relationships/control" Target="../activeX/activeX90.xml"/><Relationship Id="rId10" Type="http://schemas.openxmlformats.org/officeDocument/2006/relationships/image" Target="../media/image92.emf"/><Relationship Id="rId4" Type="http://schemas.openxmlformats.org/officeDocument/2006/relationships/image" Target="../media/image89.emf"/><Relationship Id="rId9" Type="http://schemas.openxmlformats.org/officeDocument/2006/relationships/control" Target="../activeX/activeX9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9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9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6.xml"/><Relationship Id="rId5" Type="http://schemas.openxmlformats.org/officeDocument/2006/relationships/image" Target="../media/image95.emf"/><Relationship Id="rId4" Type="http://schemas.openxmlformats.org/officeDocument/2006/relationships/control" Target="../activeX/activeX95.xml"/><Relationship Id="rId9" Type="http://schemas.openxmlformats.org/officeDocument/2006/relationships/image" Target="../media/image97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0.xml"/><Relationship Id="rId2" Type="http://schemas.openxmlformats.org/officeDocument/2006/relationships/queryTable" Target="../queryTables/queryTable109.xml"/><Relationship Id="rId1" Type="http://schemas.openxmlformats.org/officeDocument/2006/relationships/queryTable" Target="../queryTables/queryTable10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3.xml"/><Relationship Id="rId2" Type="http://schemas.openxmlformats.org/officeDocument/2006/relationships/queryTable" Target="../queryTables/queryTable112.xml"/><Relationship Id="rId1" Type="http://schemas.openxmlformats.org/officeDocument/2006/relationships/queryTable" Target="../queryTables/queryTable1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5.xml"/><Relationship Id="rId2" Type="http://schemas.openxmlformats.org/officeDocument/2006/relationships/queryTable" Target="../queryTables/queryTable114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16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2.xml"/><Relationship Id="rId18" Type="http://schemas.openxmlformats.org/officeDocument/2006/relationships/queryTable" Target="../queryTables/queryTable127.xml"/><Relationship Id="rId26" Type="http://schemas.openxmlformats.org/officeDocument/2006/relationships/queryTable" Target="../queryTables/queryTable135.xml"/><Relationship Id="rId3" Type="http://schemas.openxmlformats.org/officeDocument/2006/relationships/vmlDrawing" Target="../drawings/vmlDrawing13.vml"/><Relationship Id="rId21" Type="http://schemas.openxmlformats.org/officeDocument/2006/relationships/queryTable" Target="../queryTables/queryTable130.xml"/><Relationship Id="rId34" Type="http://schemas.openxmlformats.org/officeDocument/2006/relationships/queryTable" Target="../queryTables/queryTable143.xml"/><Relationship Id="rId7" Type="http://schemas.openxmlformats.org/officeDocument/2006/relationships/image" Target="../media/image99.emf"/><Relationship Id="rId12" Type="http://schemas.openxmlformats.org/officeDocument/2006/relationships/queryTable" Target="../queryTables/queryTable121.xml"/><Relationship Id="rId17" Type="http://schemas.openxmlformats.org/officeDocument/2006/relationships/queryTable" Target="../queryTables/queryTable126.xml"/><Relationship Id="rId25" Type="http://schemas.openxmlformats.org/officeDocument/2006/relationships/queryTable" Target="../queryTables/queryTable134.xml"/><Relationship Id="rId33" Type="http://schemas.openxmlformats.org/officeDocument/2006/relationships/queryTable" Target="../queryTables/queryTable142.xml"/><Relationship Id="rId2" Type="http://schemas.openxmlformats.org/officeDocument/2006/relationships/drawing" Target="../drawings/drawing13.xml"/><Relationship Id="rId16" Type="http://schemas.openxmlformats.org/officeDocument/2006/relationships/queryTable" Target="../queryTables/queryTable125.xml"/><Relationship Id="rId20" Type="http://schemas.openxmlformats.org/officeDocument/2006/relationships/queryTable" Target="../queryTables/queryTable129.xml"/><Relationship Id="rId29" Type="http://schemas.openxmlformats.org/officeDocument/2006/relationships/queryTable" Target="../queryTables/queryTable13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99.xml"/><Relationship Id="rId11" Type="http://schemas.openxmlformats.org/officeDocument/2006/relationships/queryTable" Target="../queryTables/queryTable120.xml"/><Relationship Id="rId24" Type="http://schemas.openxmlformats.org/officeDocument/2006/relationships/queryTable" Target="../queryTables/queryTable133.xml"/><Relationship Id="rId32" Type="http://schemas.openxmlformats.org/officeDocument/2006/relationships/queryTable" Target="../queryTables/queryTable141.xml"/><Relationship Id="rId5" Type="http://schemas.openxmlformats.org/officeDocument/2006/relationships/image" Target="../media/image98.emf"/><Relationship Id="rId15" Type="http://schemas.openxmlformats.org/officeDocument/2006/relationships/queryTable" Target="../queryTables/queryTable124.xml"/><Relationship Id="rId23" Type="http://schemas.openxmlformats.org/officeDocument/2006/relationships/queryTable" Target="../queryTables/queryTable132.xml"/><Relationship Id="rId28" Type="http://schemas.openxmlformats.org/officeDocument/2006/relationships/queryTable" Target="../queryTables/queryTable137.xml"/><Relationship Id="rId36" Type="http://schemas.openxmlformats.org/officeDocument/2006/relationships/queryTable" Target="../queryTables/queryTable145.xml"/><Relationship Id="rId10" Type="http://schemas.openxmlformats.org/officeDocument/2006/relationships/queryTable" Target="../queryTables/queryTable119.xml"/><Relationship Id="rId19" Type="http://schemas.openxmlformats.org/officeDocument/2006/relationships/queryTable" Target="../queryTables/queryTable128.xml"/><Relationship Id="rId31" Type="http://schemas.openxmlformats.org/officeDocument/2006/relationships/queryTable" Target="../queryTables/queryTable140.xml"/><Relationship Id="rId4" Type="http://schemas.openxmlformats.org/officeDocument/2006/relationships/control" Target="../activeX/activeX98.xml"/><Relationship Id="rId9" Type="http://schemas.openxmlformats.org/officeDocument/2006/relationships/queryTable" Target="../queryTables/queryTable118.xml"/><Relationship Id="rId14" Type="http://schemas.openxmlformats.org/officeDocument/2006/relationships/queryTable" Target="../queryTables/queryTable123.xml"/><Relationship Id="rId22" Type="http://schemas.openxmlformats.org/officeDocument/2006/relationships/queryTable" Target="../queryTables/queryTable131.xml"/><Relationship Id="rId27" Type="http://schemas.openxmlformats.org/officeDocument/2006/relationships/queryTable" Target="../queryTables/queryTable136.xml"/><Relationship Id="rId30" Type="http://schemas.openxmlformats.org/officeDocument/2006/relationships/queryTable" Target="../queryTables/queryTable139.xml"/><Relationship Id="rId35" Type="http://schemas.openxmlformats.org/officeDocument/2006/relationships/queryTable" Target="../queryTables/queryTable144.xml"/><Relationship Id="rId8" Type="http://schemas.openxmlformats.org/officeDocument/2006/relationships/queryTable" Target="../queryTables/queryTable1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設定"/>
  <dimension ref="A1:H1520"/>
  <sheetViews>
    <sheetView zoomScaleNormal="100" workbookViewId="0">
      <pane xSplit="3" ySplit="2" topLeftCell="D675" activePane="bottomRight" state="frozen"/>
      <selection pane="topRight" activeCell="D1" sqref="D1"/>
      <selection pane="bottomLeft" activeCell="A2" sqref="A2"/>
      <selection pane="bottomRight" activeCell="E2" sqref="E2:E705"/>
    </sheetView>
  </sheetViews>
  <sheetFormatPr defaultColWidth="15.625" defaultRowHeight="19.5"/>
  <cols>
    <col min="1" max="2" width="15.625" style="147"/>
    <col min="3" max="3" width="13.125" style="147" customWidth="1"/>
    <col min="4" max="4" width="13" style="283" bestFit="1" customWidth="1"/>
    <col min="5" max="5" width="16.375" style="294" bestFit="1" customWidth="1"/>
    <col min="6" max="6" width="16.25" style="283" bestFit="1" customWidth="1"/>
    <col min="7" max="7" width="13" style="283" bestFit="1" customWidth="1"/>
    <col min="8" max="8" width="13.875" style="283" bestFit="1" customWidth="1"/>
    <col min="9" max="16384" width="15.625" style="147"/>
  </cols>
  <sheetData>
    <row r="1" spans="1:8" s="260" customFormat="1" ht="24.75" customHeight="1">
      <c r="A1" s="260" t="s">
        <v>1882</v>
      </c>
      <c r="D1" s="260" t="s">
        <v>1899</v>
      </c>
      <c r="E1" s="260" t="str">
        <f>"已讀  " &amp; COUNTA(E2:E1999) &amp; "  家"</f>
        <v>已讀  678  家</v>
      </c>
      <c r="F1" s="260" t="str">
        <f>"待讀" &amp; COUNTA(F2:F2000) &amp; "  家"</f>
        <v>待讀0  家</v>
      </c>
      <c r="G1" s="260" t="s">
        <v>1967</v>
      </c>
      <c r="H1" s="260" t="s">
        <v>1968</v>
      </c>
    </row>
    <row r="2" spans="1:8">
      <c r="A2" s="148" t="s">
        <v>1883</v>
      </c>
      <c r="B2" s="149">
        <f ca="1">TODAY()</f>
        <v>42320</v>
      </c>
      <c r="C2" s="153">
        <f ca="1">B2-WEEKDAY(TODAY())-1</f>
        <v>42314</v>
      </c>
      <c r="D2" s="283">
        <v>1101</v>
      </c>
      <c r="E2" s="294">
        <v>1213</v>
      </c>
    </row>
    <row r="3" spans="1:8">
      <c r="A3" s="150" t="s">
        <v>1884</v>
      </c>
      <c r="B3" s="151" t="s">
        <v>1891</v>
      </c>
      <c r="C3" s="153">
        <f ca="1">C2-7</f>
        <v>42307</v>
      </c>
      <c r="D3" s="283">
        <v>1102</v>
      </c>
      <c r="E3" s="294">
        <v>1229</v>
      </c>
    </row>
    <row r="4" spans="1:8">
      <c r="A4" s="150" t="s">
        <v>1884</v>
      </c>
      <c r="B4" s="151" t="s">
        <v>1887</v>
      </c>
      <c r="C4" s="153">
        <f ca="1">C3-7</f>
        <v>42300</v>
      </c>
      <c r="D4" s="283">
        <v>1103</v>
      </c>
      <c r="E4" s="294">
        <v>1235</v>
      </c>
    </row>
    <row r="5" spans="1:8">
      <c r="A5" s="150" t="s">
        <v>1884</v>
      </c>
      <c r="B5" s="151" t="s">
        <v>1888</v>
      </c>
      <c r="C5" s="153">
        <f ca="1">C4-7</f>
        <v>42293</v>
      </c>
      <c r="D5" s="283">
        <v>1104</v>
      </c>
      <c r="E5" s="294">
        <v>1313</v>
      </c>
    </row>
    <row r="6" spans="1:8">
      <c r="A6" s="150" t="s">
        <v>1884</v>
      </c>
      <c r="B6" s="151" t="s">
        <v>1889</v>
      </c>
      <c r="C6" s="153">
        <f ca="1">C5-7-1</f>
        <v>42285</v>
      </c>
      <c r="D6" s="283">
        <v>1108</v>
      </c>
      <c r="E6" s="294">
        <v>1326</v>
      </c>
      <c r="G6" s="222"/>
    </row>
    <row r="7" spans="1:8">
      <c r="A7" s="150" t="s">
        <v>1884</v>
      </c>
      <c r="B7" s="151" t="s">
        <v>1890</v>
      </c>
      <c r="C7" s="153">
        <f ca="1">C6-7+1</f>
        <v>42279</v>
      </c>
      <c r="D7" s="283">
        <v>1109</v>
      </c>
      <c r="E7" s="294">
        <v>1337</v>
      </c>
      <c r="G7" s="222"/>
    </row>
    <row r="8" spans="1:8">
      <c r="A8" s="150" t="s">
        <v>1892</v>
      </c>
      <c r="B8" s="151"/>
      <c r="C8" s="147">
        <v>0.02</v>
      </c>
      <c r="D8" s="283">
        <v>1110</v>
      </c>
      <c r="E8" s="294">
        <v>1338</v>
      </c>
      <c r="G8" s="222"/>
    </row>
    <row r="9" spans="1:8">
      <c r="A9" s="152" t="s">
        <v>153</v>
      </c>
      <c r="B9" s="152"/>
      <c r="C9" s="152">
        <v>25</v>
      </c>
      <c r="D9" s="283">
        <v>1201</v>
      </c>
      <c r="E9" s="294">
        <v>1340</v>
      </c>
      <c r="G9" s="222"/>
    </row>
    <row r="10" spans="1:8">
      <c r="A10" s="152" t="s">
        <v>222</v>
      </c>
      <c r="B10" s="152"/>
      <c r="C10" s="152"/>
      <c r="D10" s="283">
        <v>1203</v>
      </c>
      <c r="E10" s="294">
        <v>1414</v>
      </c>
      <c r="G10" s="222"/>
    </row>
    <row r="11" spans="1:8">
      <c r="A11" s="152" t="s">
        <v>223</v>
      </c>
      <c r="B11" s="152"/>
      <c r="C11" s="152"/>
      <c r="D11" s="283">
        <v>1210</v>
      </c>
      <c r="E11" s="294">
        <v>1452</v>
      </c>
      <c r="G11" s="222"/>
    </row>
    <row r="12" spans="1:8">
      <c r="D12" s="283">
        <v>1213</v>
      </c>
      <c r="E12" s="294">
        <v>1454</v>
      </c>
      <c r="G12" s="222"/>
    </row>
    <row r="13" spans="1:8">
      <c r="D13" s="283">
        <v>1215</v>
      </c>
      <c r="E13" s="294">
        <v>1459</v>
      </c>
      <c r="G13" s="222"/>
    </row>
    <row r="14" spans="1:8">
      <c r="D14" s="283">
        <v>1216</v>
      </c>
      <c r="E14" s="294">
        <v>1474</v>
      </c>
      <c r="G14" s="222"/>
    </row>
    <row r="15" spans="1:8">
      <c r="D15" s="283">
        <v>1217</v>
      </c>
      <c r="E15" s="294">
        <v>1530</v>
      </c>
      <c r="G15" s="222"/>
    </row>
    <row r="16" spans="1:8">
      <c r="D16" s="283">
        <v>1218</v>
      </c>
      <c r="E16" s="294">
        <v>1535</v>
      </c>
      <c r="G16" s="222"/>
    </row>
    <row r="17" spans="4:7">
      <c r="D17" s="283">
        <v>1219</v>
      </c>
      <c r="E17" s="294">
        <v>1537</v>
      </c>
      <c r="G17" s="222"/>
    </row>
    <row r="18" spans="4:7">
      <c r="D18" s="283">
        <v>1220</v>
      </c>
      <c r="E18" s="294">
        <v>1560</v>
      </c>
      <c r="G18" s="222"/>
    </row>
    <row r="19" spans="4:7">
      <c r="D19" s="283">
        <v>1225</v>
      </c>
      <c r="E19" s="294">
        <v>1565</v>
      </c>
      <c r="G19" s="222"/>
    </row>
    <row r="20" spans="4:7">
      <c r="D20" s="283">
        <v>1227</v>
      </c>
      <c r="E20" s="294">
        <v>1582</v>
      </c>
      <c r="G20" s="222"/>
    </row>
    <row r="21" spans="4:7">
      <c r="D21" s="283">
        <v>1229</v>
      </c>
      <c r="E21" s="20">
        <v>1597</v>
      </c>
      <c r="G21" s="222"/>
    </row>
    <row r="22" spans="4:7">
      <c r="D22" s="283">
        <v>1231</v>
      </c>
      <c r="E22" s="294">
        <v>1605</v>
      </c>
      <c r="G22" s="222"/>
    </row>
    <row r="23" spans="4:7">
      <c r="D23" s="283">
        <v>1232</v>
      </c>
      <c r="E23" s="294">
        <v>1626</v>
      </c>
      <c r="G23" s="222"/>
    </row>
    <row r="24" spans="4:7">
      <c r="D24" s="283">
        <v>1233</v>
      </c>
      <c r="E24" s="294">
        <v>1708</v>
      </c>
      <c r="G24" s="222"/>
    </row>
    <row r="25" spans="4:7">
      <c r="D25" s="283">
        <v>1234</v>
      </c>
      <c r="E25" s="294">
        <v>1717</v>
      </c>
      <c r="G25" s="222"/>
    </row>
    <row r="26" spans="4:7">
      <c r="D26" s="283">
        <v>1235</v>
      </c>
      <c r="E26" s="294">
        <v>1720</v>
      </c>
      <c r="G26" s="222"/>
    </row>
    <row r="27" spans="4:7">
      <c r="D27" s="283">
        <v>1236</v>
      </c>
      <c r="E27" s="294">
        <v>1724</v>
      </c>
      <c r="G27" s="222"/>
    </row>
    <row r="28" spans="4:7">
      <c r="D28" s="283">
        <v>1262</v>
      </c>
      <c r="E28" s="294">
        <v>1730</v>
      </c>
      <c r="G28" s="222"/>
    </row>
    <row r="29" spans="4:7">
      <c r="D29" s="283">
        <v>1301</v>
      </c>
      <c r="E29" s="294">
        <v>1773</v>
      </c>
      <c r="G29" s="222"/>
    </row>
    <row r="30" spans="4:7">
      <c r="D30" s="283">
        <v>1303</v>
      </c>
      <c r="E30" s="20">
        <v>1777</v>
      </c>
      <c r="G30" s="222"/>
    </row>
    <row r="31" spans="4:7">
      <c r="D31" s="283">
        <v>1304</v>
      </c>
      <c r="E31" s="20">
        <v>1785</v>
      </c>
      <c r="G31" s="222"/>
    </row>
    <row r="32" spans="4:7">
      <c r="D32" s="283">
        <v>1305</v>
      </c>
      <c r="E32" s="294">
        <v>1789</v>
      </c>
      <c r="G32" s="222"/>
    </row>
    <row r="33" spans="4:7">
      <c r="D33" s="283">
        <v>1307</v>
      </c>
      <c r="E33" s="294">
        <v>1817</v>
      </c>
      <c r="G33" s="222"/>
    </row>
    <row r="34" spans="4:7">
      <c r="D34" s="283">
        <v>1308</v>
      </c>
      <c r="E34" s="294">
        <v>2013</v>
      </c>
      <c r="G34" s="222"/>
    </row>
    <row r="35" spans="4:7">
      <c r="D35" s="283">
        <v>1309</v>
      </c>
      <c r="E35" s="294">
        <v>2015</v>
      </c>
      <c r="G35" s="222"/>
    </row>
    <row r="36" spans="4:7">
      <c r="D36" s="283">
        <v>1310</v>
      </c>
      <c r="E36" s="294">
        <v>2031</v>
      </c>
      <c r="G36" s="222"/>
    </row>
    <row r="37" spans="4:7">
      <c r="D37" s="283">
        <v>1312</v>
      </c>
      <c r="E37" s="294">
        <v>2059</v>
      </c>
      <c r="G37" s="222"/>
    </row>
    <row r="38" spans="4:7">
      <c r="D38" s="283">
        <v>1313</v>
      </c>
      <c r="E38" s="294">
        <v>2062</v>
      </c>
    </row>
    <row r="39" spans="4:7">
      <c r="D39" s="283">
        <v>1314</v>
      </c>
      <c r="E39" s="20">
        <v>2064</v>
      </c>
    </row>
    <row r="40" spans="4:7">
      <c r="D40" s="283">
        <v>1315</v>
      </c>
      <c r="E40" s="294">
        <v>2108</v>
      </c>
    </row>
    <row r="41" spans="4:7">
      <c r="D41" s="283">
        <v>1316</v>
      </c>
      <c r="E41" s="294">
        <v>2115</v>
      </c>
    </row>
    <row r="42" spans="4:7">
      <c r="D42" s="283">
        <v>1319</v>
      </c>
      <c r="E42" s="294">
        <v>2227</v>
      </c>
    </row>
    <row r="43" spans="4:7">
      <c r="D43" s="283">
        <v>1321</v>
      </c>
      <c r="E43" s="294">
        <v>2302</v>
      </c>
    </row>
    <row r="44" spans="4:7">
      <c r="D44" s="283">
        <v>1323</v>
      </c>
      <c r="E44" s="294">
        <v>2303</v>
      </c>
    </row>
    <row r="45" spans="4:7">
      <c r="D45" s="283">
        <v>1324</v>
      </c>
      <c r="E45" s="294">
        <v>2308</v>
      </c>
    </row>
    <row r="46" spans="4:7">
      <c r="D46" s="283">
        <v>1325</v>
      </c>
      <c r="E46" s="294">
        <v>2325</v>
      </c>
    </row>
    <row r="47" spans="4:7">
      <c r="D47" s="283">
        <v>1326</v>
      </c>
      <c r="E47" s="294">
        <v>2344</v>
      </c>
    </row>
    <row r="48" spans="4:7">
      <c r="D48" s="283">
        <v>1337</v>
      </c>
      <c r="E48" s="294">
        <v>2353</v>
      </c>
    </row>
    <row r="49" spans="4:5">
      <c r="D49" s="283">
        <v>1338</v>
      </c>
      <c r="E49" s="294">
        <v>2363</v>
      </c>
    </row>
    <row r="50" spans="4:5">
      <c r="D50" s="283">
        <v>1339</v>
      </c>
      <c r="E50" s="294">
        <v>2367</v>
      </c>
    </row>
    <row r="51" spans="4:5">
      <c r="D51" s="283">
        <v>1340</v>
      </c>
      <c r="E51" s="294">
        <v>2369</v>
      </c>
    </row>
    <row r="52" spans="4:5">
      <c r="D52" s="283">
        <v>1402</v>
      </c>
      <c r="E52" s="294">
        <v>2374</v>
      </c>
    </row>
    <row r="53" spans="4:5">
      <c r="D53" s="283">
        <v>1410</v>
      </c>
      <c r="E53" s="294">
        <v>2383</v>
      </c>
    </row>
    <row r="54" spans="4:5">
      <c r="D54" s="283">
        <v>1413</v>
      </c>
      <c r="E54" s="294">
        <v>2395</v>
      </c>
    </row>
    <row r="55" spans="4:5">
      <c r="D55" s="283">
        <v>1414</v>
      </c>
      <c r="E55" s="294">
        <v>2437</v>
      </c>
    </row>
    <row r="56" spans="4:5">
      <c r="D56" s="283">
        <v>1416</v>
      </c>
      <c r="E56" s="294">
        <v>2439</v>
      </c>
    </row>
    <row r="57" spans="4:5">
      <c r="D57" s="283">
        <v>1417</v>
      </c>
      <c r="E57" s="294">
        <v>2442</v>
      </c>
    </row>
    <row r="58" spans="4:5">
      <c r="D58" s="283">
        <v>1418</v>
      </c>
      <c r="E58" s="294">
        <v>2448</v>
      </c>
    </row>
    <row r="59" spans="4:5">
      <c r="D59" s="283">
        <v>1419</v>
      </c>
      <c r="E59" s="294">
        <v>2451</v>
      </c>
    </row>
    <row r="60" spans="4:5">
      <c r="D60" s="283">
        <v>1423</v>
      </c>
      <c r="E60" s="294">
        <v>2455</v>
      </c>
    </row>
    <row r="61" spans="4:5">
      <c r="D61" s="283">
        <v>1432</v>
      </c>
      <c r="E61" s="20">
        <v>2457</v>
      </c>
    </row>
    <row r="62" spans="4:5">
      <c r="D62" s="283">
        <v>1434</v>
      </c>
      <c r="E62" s="20">
        <v>2478</v>
      </c>
    </row>
    <row r="63" spans="4:5">
      <c r="D63" s="283">
        <v>1435</v>
      </c>
      <c r="E63" s="20">
        <v>2486</v>
      </c>
    </row>
    <row r="64" spans="4:5">
      <c r="D64" s="283">
        <v>1436</v>
      </c>
      <c r="E64" s="294">
        <v>2489</v>
      </c>
    </row>
    <row r="65" spans="4:5">
      <c r="D65" s="283">
        <v>1437</v>
      </c>
      <c r="E65" s="294">
        <v>2497</v>
      </c>
    </row>
    <row r="66" spans="4:5">
      <c r="D66" s="283">
        <v>1438</v>
      </c>
      <c r="E66" s="20">
        <v>2511</v>
      </c>
    </row>
    <row r="67" spans="4:5">
      <c r="D67" s="283">
        <v>1439</v>
      </c>
      <c r="E67" s="20">
        <v>2530</v>
      </c>
    </row>
    <row r="68" spans="4:5">
      <c r="D68" s="283">
        <v>1440</v>
      </c>
      <c r="E68" s="20">
        <v>2536</v>
      </c>
    </row>
    <row r="69" spans="4:5">
      <c r="D69" s="283">
        <v>1441</v>
      </c>
      <c r="E69" s="20">
        <v>2542</v>
      </c>
    </row>
    <row r="70" spans="4:5">
      <c r="D70" s="283">
        <v>1442</v>
      </c>
      <c r="E70" s="20">
        <v>2548</v>
      </c>
    </row>
    <row r="71" spans="4:5">
      <c r="D71" s="283">
        <v>1443</v>
      </c>
      <c r="E71" s="20">
        <v>2612</v>
      </c>
    </row>
    <row r="72" spans="4:5">
      <c r="D72" s="283">
        <v>1444</v>
      </c>
      <c r="E72" s="294">
        <v>2637</v>
      </c>
    </row>
    <row r="73" spans="4:5">
      <c r="D73" s="283">
        <v>1445</v>
      </c>
      <c r="E73" s="20">
        <v>2641</v>
      </c>
    </row>
    <row r="74" spans="4:5">
      <c r="D74" s="283">
        <v>1446</v>
      </c>
      <c r="E74" s="20">
        <v>2701</v>
      </c>
    </row>
    <row r="75" spans="4:5">
      <c r="D75" s="283">
        <v>1447</v>
      </c>
      <c r="E75" s="20">
        <v>2706</v>
      </c>
    </row>
    <row r="76" spans="4:5">
      <c r="D76" s="283">
        <v>1449</v>
      </c>
      <c r="E76" s="20">
        <v>2707</v>
      </c>
    </row>
    <row r="77" spans="4:5">
      <c r="D77" s="283">
        <v>1451</v>
      </c>
      <c r="E77" s="20">
        <v>2712</v>
      </c>
    </row>
    <row r="78" spans="4:5">
      <c r="D78" s="283">
        <v>1452</v>
      </c>
      <c r="E78" s="20">
        <v>2727</v>
      </c>
    </row>
    <row r="79" spans="4:5">
      <c r="D79" s="283">
        <v>1453</v>
      </c>
      <c r="E79" s="20">
        <v>2923</v>
      </c>
    </row>
    <row r="80" spans="4:5">
      <c r="D80" s="283">
        <v>1454</v>
      </c>
      <c r="E80" s="20">
        <v>2926</v>
      </c>
    </row>
    <row r="81" spans="4:5">
      <c r="D81" s="283">
        <v>1455</v>
      </c>
      <c r="E81" s="20">
        <v>3004</v>
      </c>
    </row>
    <row r="82" spans="4:5">
      <c r="D82" s="283">
        <v>1456</v>
      </c>
      <c r="E82" s="20">
        <v>3008</v>
      </c>
    </row>
    <row r="83" spans="4:5">
      <c r="D83" s="283">
        <v>1457</v>
      </c>
      <c r="E83" s="20">
        <v>3011</v>
      </c>
    </row>
    <row r="84" spans="4:5">
      <c r="D84" s="283">
        <v>1459</v>
      </c>
      <c r="E84" s="20">
        <v>3013</v>
      </c>
    </row>
    <row r="85" spans="4:5">
      <c r="D85" s="283">
        <v>1460</v>
      </c>
      <c r="E85" s="20">
        <v>3014</v>
      </c>
    </row>
    <row r="86" spans="4:5">
      <c r="D86" s="283">
        <v>1463</v>
      </c>
      <c r="E86" s="294">
        <v>3015</v>
      </c>
    </row>
    <row r="87" spans="4:5">
      <c r="D87" s="283">
        <v>1464</v>
      </c>
      <c r="E87" s="20">
        <v>3019</v>
      </c>
    </row>
    <row r="88" spans="4:5">
      <c r="D88" s="283">
        <v>1465</v>
      </c>
      <c r="E88" s="20">
        <v>3023</v>
      </c>
    </row>
    <row r="89" spans="4:5">
      <c r="D89" s="283">
        <v>1466</v>
      </c>
      <c r="E89" s="20">
        <v>3026</v>
      </c>
    </row>
    <row r="90" spans="4:5">
      <c r="D90" s="283">
        <v>1467</v>
      </c>
      <c r="E90" s="20">
        <v>3029</v>
      </c>
    </row>
    <row r="91" spans="4:5">
      <c r="D91" s="283">
        <v>1468</v>
      </c>
      <c r="E91" s="294">
        <v>3030</v>
      </c>
    </row>
    <row r="92" spans="4:5">
      <c r="D92" s="283">
        <v>1469</v>
      </c>
      <c r="E92" s="20">
        <v>3034</v>
      </c>
    </row>
    <row r="93" spans="4:5">
      <c r="D93" s="283">
        <v>1470</v>
      </c>
      <c r="E93" s="20">
        <v>3035</v>
      </c>
    </row>
    <row r="94" spans="4:5">
      <c r="D94" s="283">
        <v>1471</v>
      </c>
      <c r="E94" s="20">
        <v>3044</v>
      </c>
    </row>
    <row r="95" spans="4:5">
      <c r="D95" s="283">
        <v>1472</v>
      </c>
      <c r="E95" s="294">
        <v>3045</v>
      </c>
    </row>
    <row r="96" spans="4:5">
      <c r="D96" s="283">
        <v>1473</v>
      </c>
      <c r="E96" s="20">
        <v>3047</v>
      </c>
    </row>
    <row r="97" spans="4:5">
      <c r="D97" s="283">
        <v>1474</v>
      </c>
      <c r="E97" s="20">
        <v>3049</v>
      </c>
    </row>
    <row r="98" spans="4:5">
      <c r="D98" s="283">
        <v>1475</v>
      </c>
      <c r="E98" s="20">
        <v>3054</v>
      </c>
    </row>
    <row r="99" spans="4:5">
      <c r="D99" s="283">
        <v>1476</v>
      </c>
      <c r="E99" s="294">
        <v>3068</v>
      </c>
    </row>
    <row r="100" spans="4:5">
      <c r="D100" s="283">
        <v>1477</v>
      </c>
      <c r="E100" s="294">
        <v>3081</v>
      </c>
    </row>
    <row r="101" spans="4:5">
      <c r="D101" s="283">
        <v>1503</v>
      </c>
      <c r="E101" s="294">
        <v>3088</v>
      </c>
    </row>
    <row r="102" spans="4:5">
      <c r="D102" s="283">
        <v>1504</v>
      </c>
      <c r="E102" s="20">
        <v>3093</v>
      </c>
    </row>
    <row r="103" spans="4:5">
      <c r="D103" s="283">
        <v>1506</v>
      </c>
      <c r="E103" s="20">
        <v>3141</v>
      </c>
    </row>
    <row r="104" spans="4:5">
      <c r="D104" s="283">
        <v>1507</v>
      </c>
      <c r="E104" s="20">
        <v>3188</v>
      </c>
    </row>
    <row r="105" spans="4:5">
      <c r="D105" s="283">
        <v>1512</v>
      </c>
      <c r="E105" s="294">
        <v>3189</v>
      </c>
    </row>
    <row r="106" spans="4:5">
      <c r="D106" s="283">
        <v>1513</v>
      </c>
      <c r="E106" s="294">
        <v>3211</v>
      </c>
    </row>
    <row r="107" spans="4:5">
      <c r="D107" s="283">
        <v>1514</v>
      </c>
      <c r="E107" s="20">
        <v>3219</v>
      </c>
    </row>
    <row r="108" spans="4:5">
      <c r="D108" s="283">
        <v>1515</v>
      </c>
      <c r="E108" s="20">
        <v>3259</v>
      </c>
    </row>
    <row r="109" spans="4:5">
      <c r="D109" s="283">
        <v>1516</v>
      </c>
      <c r="E109" s="20">
        <v>3264</v>
      </c>
    </row>
    <row r="110" spans="4:5">
      <c r="D110" s="283">
        <v>1517</v>
      </c>
      <c r="E110" s="20">
        <v>3265</v>
      </c>
    </row>
    <row r="111" spans="4:5">
      <c r="D111" s="283">
        <v>1519</v>
      </c>
      <c r="E111" s="20">
        <v>3272</v>
      </c>
    </row>
    <row r="112" spans="4:5">
      <c r="D112" s="283">
        <v>1521</v>
      </c>
      <c r="E112" s="20">
        <v>3290</v>
      </c>
    </row>
    <row r="113" spans="4:7">
      <c r="D113" s="283">
        <v>1522</v>
      </c>
      <c r="E113" s="20">
        <v>3299</v>
      </c>
    </row>
    <row r="114" spans="4:7">
      <c r="D114" s="283">
        <v>1524</v>
      </c>
      <c r="E114" s="20">
        <v>3323</v>
      </c>
    </row>
    <row r="115" spans="4:7">
      <c r="D115" s="283">
        <v>1525</v>
      </c>
      <c r="E115" s="20">
        <v>3324</v>
      </c>
      <c r="G115" s="222"/>
    </row>
    <row r="116" spans="4:7">
      <c r="D116" s="283">
        <v>1526</v>
      </c>
      <c r="E116" s="294">
        <v>3372</v>
      </c>
      <c r="G116" s="222"/>
    </row>
    <row r="117" spans="4:7">
      <c r="D117" s="283">
        <v>1527</v>
      </c>
      <c r="E117" s="20">
        <v>3374</v>
      </c>
      <c r="G117" s="222"/>
    </row>
    <row r="118" spans="4:7">
      <c r="D118" s="283">
        <v>1528</v>
      </c>
      <c r="E118" s="20">
        <v>3376</v>
      </c>
      <c r="G118" s="222"/>
    </row>
    <row r="119" spans="4:7">
      <c r="D119" s="283">
        <v>1529</v>
      </c>
      <c r="E119" s="20">
        <v>3380</v>
      </c>
      <c r="G119" s="222"/>
    </row>
    <row r="120" spans="4:7">
      <c r="D120" s="283">
        <v>1530</v>
      </c>
      <c r="E120" s="20">
        <v>3388</v>
      </c>
      <c r="G120" s="222"/>
    </row>
    <row r="121" spans="4:7">
      <c r="D121" s="283">
        <v>1531</v>
      </c>
      <c r="E121" s="20">
        <v>3450</v>
      </c>
      <c r="G121" s="222"/>
    </row>
    <row r="122" spans="4:7">
      <c r="D122" s="283">
        <v>1532</v>
      </c>
      <c r="E122" s="20">
        <v>3452</v>
      </c>
      <c r="G122" s="222"/>
    </row>
    <row r="123" spans="4:7">
      <c r="D123" s="283">
        <v>1533</v>
      </c>
      <c r="E123" s="20">
        <v>3454</v>
      </c>
      <c r="G123" s="222"/>
    </row>
    <row r="124" spans="4:7">
      <c r="D124" s="283">
        <v>1535</v>
      </c>
      <c r="E124" s="294">
        <v>3504</v>
      </c>
      <c r="G124" s="222"/>
    </row>
    <row r="125" spans="4:7">
      <c r="D125" s="283">
        <v>1536</v>
      </c>
      <c r="E125" s="294">
        <v>3511</v>
      </c>
      <c r="G125" s="222"/>
    </row>
    <row r="126" spans="4:7">
      <c r="D126" s="283">
        <v>1537</v>
      </c>
      <c r="E126" s="20">
        <v>3515</v>
      </c>
      <c r="G126" s="222"/>
    </row>
    <row r="127" spans="4:7">
      <c r="D127" s="283">
        <v>1538</v>
      </c>
      <c r="E127" s="294">
        <v>3529</v>
      </c>
      <c r="G127" s="222"/>
    </row>
    <row r="128" spans="4:7">
      <c r="D128" s="283">
        <v>1539</v>
      </c>
      <c r="E128" s="20">
        <v>3556</v>
      </c>
      <c r="G128" s="222"/>
    </row>
    <row r="129" spans="4:7">
      <c r="D129" s="283">
        <v>1540</v>
      </c>
      <c r="E129" s="294">
        <v>3558</v>
      </c>
      <c r="G129" s="222"/>
    </row>
    <row r="130" spans="4:7">
      <c r="D130" s="283">
        <v>1541</v>
      </c>
      <c r="E130" s="294">
        <v>3563</v>
      </c>
      <c r="G130" s="222"/>
    </row>
    <row r="131" spans="4:7">
      <c r="D131" s="283">
        <v>1558</v>
      </c>
      <c r="E131" s="20">
        <v>3573</v>
      </c>
      <c r="G131" s="222"/>
    </row>
    <row r="132" spans="4:7">
      <c r="D132" s="283">
        <v>1560</v>
      </c>
      <c r="E132" s="294">
        <v>3577</v>
      </c>
      <c r="G132" s="222"/>
    </row>
    <row r="133" spans="4:7">
      <c r="D133" s="283">
        <v>1568</v>
      </c>
      <c r="E133" s="294">
        <v>3587</v>
      </c>
      <c r="G133" s="222"/>
    </row>
    <row r="134" spans="4:7">
      <c r="D134" s="283">
        <v>1582</v>
      </c>
      <c r="E134" s="294">
        <v>3623</v>
      </c>
      <c r="G134" s="222"/>
    </row>
    <row r="135" spans="4:7">
      <c r="D135" s="283">
        <v>1583</v>
      </c>
      <c r="E135" s="20">
        <v>3624</v>
      </c>
      <c r="G135" s="222"/>
    </row>
    <row r="136" spans="4:7">
      <c r="D136" s="283">
        <v>1589</v>
      </c>
      <c r="E136" s="20">
        <v>3630</v>
      </c>
      <c r="G136" s="222"/>
    </row>
    <row r="137" spans="4:7">
      <c r="D137" s="283">
        <v>1590</v>
      </c>
      <c r="E137" s="20">
        <v>3653</v>
      </c>
      <c r="G137" s="222"/>
    </row>
    <row r="138" spans="4:7">
      <c r="D138" s="283">
        <v>1592</v>
      </c>
      <c r="E138" s="294">
        <v>3658</v>
      </c>
      <c r="G138" s="222"/>
    </row>
    <row r="139" spans="4:7">
      <c r="D139" s="283">
        <v>1603</v>
      </c>
      <c r="E139" s="20">
        <v>3669</v>
      </c>
      <c r="G139" s="222"/>
    </row>
    <row r="140" spans="4:7">
      <c r="D140" s="283">
        <v>1604</v>
      </c>
      <c r="E140" s="294">
        <v>3675</v>
      </c>
      <c r="G140" s="222"/>
    </row>
    <row r="141" spans="4:7">
      <c r="D141" s="283">
        <v>1605</v>
      </c>
      <c r="E141" s="20">
        <v>3682</v>
      </c>
      <c r="G141" s="222"/>
    </row>
    <row r="142" spans="4:7">
      <c r="D142" s="283">
        <v>1608</v>
      </c>
      <c r="E142" s="20">
        <v>3684</v>
      </c>
      <c r="G142" s="222"/>
    </row>
    <row r="143" spans="4:7">
      <c r="D143" s="283">
        <v>1609</v>
      </c>
      <c r="E143" s="20">
        <v>3685</v>
      </c>
      <c r="G143" s="222"/>
    </row>
    <row r="144" spans="4:7">
      <c r="D144" s="283">
        <v>1611</v>
      </c>
      <c r="E144" s="20">
        <v>3689</v>
      </c>
      <c r="G144" s="222"/>
    </row>
    <row r="145" spans="4:7">
      <c r="D145" s="283">
        <v>1612</v>
      </c>
      <c r="E145" s="20">
        <v>3693</v>
      </c>
      <c r="G145" s="222"/>
    </row>
    <row r="146" spans="4:7">
      <c r="D146" s="283">
        <v>1613</v>
      </c>
      <c r="E146" s="20">
        <v>3698</v>
      </c>
      <c r="G146" s="222"/>
    </row>
    <row r="147" spans="4:7">
      <c r="D147" s="283">
        <v>1614</v>
      </c>
      <c r="E147" s="20">
        <v>4113</v>
      </c>
      <c r="G147" s="222"/>
    </row>
    <row r="148" spans="4:7">
      <c r="D148" s="283">
        <v>1615</v>
      </c>
      <c r="E148" s="294">
        <v>4126</v>
      </c>
      <c r="G148" s="222"/>
    </row>
    <row r="149" spans="4:7">
      <c r="D149" s="283">
        <v>1616</v>
      </c>
      <c r="E149" s="20">
        <v>4128</v>
      </c>
      <c r="G149" s="222"/>
    </row>
    <row r="150" spans="4:7">
      <c r="D150" s="283">
        <v>1617</v>
      </c>
      <c r="E150" s="20">
        <v>4130</v>
      </c>
      <c r="G150" s="222"/>
    </row>
    <row r="151" spans="4:7">
      <c r="D151" s="283">
        <v>1618</v>
      </c>
      <c r="E151" s="294">
        <v>4152</v>
      </c>
      <c r="G151" s="222"/>
    </row>
    <row r="152" spans="4:7">
      <c r="D152" s="283">
        <v>1626</v>
      </c>
      <c r="E152" s="20">
        <v>4188</v>
      </c>
      <c r="G152" s="222"/>
    </row>
    <row r="153" spans="4:7">
      <c r="D153" s="283">
        <v>1701</v>
      </c>
      <c r="E153" s="294">
        <v>4190</v>
      </c>
      <c r="G153" s="222"/>
    </row>
    <row r="154" spans="4:7">
      <c r="D154" s="283">
        <v>1702</v>
      </c>
      <c r="E154" s="20">
        <v>4205</v>
      </c>
      <c r="G154" s="222"/>
    </row>
    <row r="155" spans="4:7">
      <c r="D155" s="283">
        <v>1704</v>
      </c>
      <c r="E155" s="20">
        <v>4305</v>
      </c>
      <c r="G155" s="222"/>
    </row>
    <row r="156" spans="4:7">
      <c r="D156" s="283">
        <v>1707</v>
      </c>
      <c r="E156" s="20">
        <v>4528</v>
      </c>
    </row>
    <row r="157" spans="4:7">
      <c r="D157" s="283">
        <v>1708</v>
      </c>
      <c r="E157" s="20">
        <v>4533</v>
      </c>
    </row>
    <row r="158" spans="4:7">
      <c r="D158" s="283">
        <v>1709</v>
      </c>
      <c r="E158" s="20">
        <v>4706</v>
      </c>
    </row>
    <row r="159" spans="4:7">
      <c r="D159" s="283">
        <v>1710</v>
      </c>
      <c r="E159" s="294">
        <v>4712</v>
      </c>
    </row>
    <row r="160" spans="4:7">
      <c r="D160" s="283">
        <v>1711</v>
      </c>
      <c r="E160" s="20">
        <v>4721</v>
      </c>
    </row>
    <row r="161" spans="4:5">
      <c r="D161" s="283">
        <v>1712</v>
      </c>
      <c r="E161" s="20">
        <v>4722</v>
      </c>
    </row>
    <row r="162" spans="4:5">
      <c r="D162" s="283">
        <v>1713</v>
      </c>
      <c r="E162" s="20">
        <v>4733</v>
      </c>
    </row>
    <row r="163" spans="4:5">
      <c r="D163" s="283">
        <v>1714</v>
      </c>
      <c r="E163" s="20">
        <v>4743</v>
      </c>
    </row>
    <row r="164" spans="4:5">
      <c r="D164" s="283">
        <v>1715</v>
      </c>
      <c r="E164" s="20">
        <v>4903</v>
      </c>
    </row>
    <row r="165" spans="4:5">
      <c r="D165" s="283">
        <v>1717</v>
      </c>
      <c r="E165" s="20">
        <v>4906</v>
      </c>
    </row>
    <row r="166" spans="4:5">
      <c r="D166" s="283">
        <v>1720</v>
      </c>
      <c r="E166" s="20">
        <v>4911</v>
      </c>
    </row>
    <row r="167" spans="4:5">
      <c r="D167" s="283">
        <v>1721</v>
      </c>
      <c r="E167" s="294">
        <v>4919</v>
      </c>
    </row>
    <row r="168" spans="4:5">
      <c r="D168" s="283">
        <v>1722</v>
      </c>
      <c r="E168" s="20">
        <v>4939</v>
      </c>
    </row>
    <row r="169" spans="4:5">
      <c r="D169" s="283">
        <v>1723</v>
      </c>
      <c r="E169" s="294">
        <v>4966</v>
      </c>
    </row>
    <row r="170" spans="4:5">
      <c r="D170" s="283">
        <v>1724</v>
      </c>
      <c r="E170" s="294">
        <v>4972</v>
      </c>
    </row>
    <row r="171" spans="4:5">
      <c r="D171" s="283">
        <v>1725</v>
      </c>
      <c r="E171" s="20">
        <v>4973</v>
      </c>
    </row>
    <row r="172" spans="4:5">
      <c r="D172" s="283">
        <v>1726</v>
      </c>
      <c r="E172" s="20">
        <v>4974</v>
      </c>
    </row>
    <row r="173" spans="4:5">
      <c r="D173" s="283">
        <v>1727</v>
      </c>
      <c r="E173" s="20">
        <v>4991</v>
      </c>
    </row>
    <row r="174" spans="4:5">
      <c r="D174" s="283">
        <v>1729</v>
      </c>
      <c r="E174" s="20">
        <v>4994</v>
      </c>
    </row>
    <row r="175" spans="4:5">
      <c r="D175" s="283">
        <v>1730</v>
      </c>
      <c r="E175" s="20">
        <v>4999</v>
      </c>
    </row>
    <row r="176" spans="4:5">
      <c r="D176" s="283">
        <v>1731</v>
      </c>
      <c r="E176" s="294">
        <v>5007</v>
      </c>
    </row>
    <row r="177" spans="4:5">
      <c r="D177" s="283">
        <v>1732</v>
      </c>
      <c r="E177" s="20">
        <v>5015</v>
      </c>
    </row>
    <row r="178" spans="4:5">
      <c r="D178" s="283">
        <v>1733</v>
      </c>
      <c r="E178" s="294">
        <v>5203</v>
      </c>
    </row>
    <row r="179" spans="4:5">
      <c r="D179" s="283">
        <v>1734</v>
      </c>
      <c r="E179" s="20">
        <v>5209</v>
      </c>
    </row>
    <row r="180" spans="4:5">
      <c r="D180" s="283">
        <v>1735</v>
      </c>
      <c r="E180" s="20">
        <v>5215</v>
      </c>
    </row>
    <row r="181" spans="4:5">
      <c r="D181" s="283">
        <v>1736</v>
      </c>
      <c r="E181" s="20">
        <v>5264</v>
      </c>
    </row>
    <row r="182" spans="4:5">
      <c r="D182" s="283">
        <v>1737</v>
      </c>
      <c r="E182" s="20">
        <v>5272</v>
      </c>
    </row>
    <row r="183" spans="4:5">
      <c r="D183" s="283">
        <v>1762</v>
      </c>
      <c r="E183" s="294">
        <v>5274</v>
      </c>
    </row>
    <row r="184" spans="4:5">
      <c r="D184" s="283">
        <v>1773</v>
      </c>
      <c r="E184" s="20">
        <v>5285</v>
      </c>
    </row>
    <row r="185" spans="4:5">
      <c r="D185" s="283">
        <v>1783</v>
      </c>
      <c r="E185" s="294">
        <v>5288</v>
      </c>
    </row>
    <row r="186" spans="4:5">
      <c r="D186" s="283">
        <v>1786</v>
      </c>
      <c r="E186" s="20">
        <v>5315</v>
      </c>
    </row>
    <row r="187" spans="4:5">
      <c r="D187" s="283">
        <v>1789</v>
      </c>
      <c r="E187" s="20">
        <v>5328</v>
      </c>
    </row>
    <row r="188" spans="4:5">
      <c r="D188" s="283">
        <v>1802</v>
      </c>
      <c r="E188" s="294">
        <v>5347</v>
      </c>
    </row>
    <row r="189" spans="4:5">
      <c r="D189" s="283">
        <v>1805</v>
      </c>
      <c r="E189" s="20">
        <v>5351</v>
      </c>
    </row>
    <row r="190" spans="4:5">
      <c r="D190" s="283">
        <v>1806</v>
      </c>
      <c r="E190" s="294">
        <v>5371</v>
      </c>
    </row>
    <row r="191" spans="4:5">
      <c r="D191" s="283">
        <v>1808</v>
      </c>
      <c r="E191" s="20">
        <v>5398</v>
      </c>
    </row>
    <row r="192" spans="4:5">
      <c r="D192" s="283">
        <v>1809</v>
      </c>
      <c r="E192" s="20">
        <v>5468</v>
      </c>
    </row>
    <row r="193" spans="4:5">
      <c r="D193" s="283">
        <v>1810</v>
      </c>
      <c r="E193" s="20">
        <v>5471</v>
      </c>
    </row>
    <row r="194" spans="4:5">
      <c r="D194" s="283">
        <v>1817</v>
      </c>
      <c r="E194" s="20">
        <v>5475</v>
      </c>
    </row>
    <row r="195" spans="4:5">
      <c r="D195" s="283">
        <v>1902</v>
      </c>
      <c r="E195" s="20">
        <v>5489</v>
      </c>
    </row>
    <row r="196" spans="4:5">
      <c r="D196" s="283">
        <v>1903</v>
      </c>
      <c r="E196" s="20">
        <v>5490</v>
      </c>
    </row>
    <row r="197" spans="4:5">
      <c r="D197" s="283">
        <v>1904</v>
      </c>
      <c r="E197" s="20">
        <v>5508</v>
      </c>
    </row>
    <row r="198" spans="4:5">
      <c r="D198" s="283">
        <v>1905</v>
      </c>
      <c r="E198" s="294">
        <v>5514</v>
      </c>
    </row>
    <row r="199" spans="4:5">
      <c r="D199" s="283">
        <v>1906</v>
      </c>
      <c r="E199" s="20">
        <v>5523</v>
      </c>
    </row>
    <row r="200" spans="4:5">
      <c r="D200" s="283">
        <v>1907</v>
      </c>
      <c r="E200" s="20">
        <v>5902</v>
      </c>
    </row>
    <row r="201" spans="4:5">
      <c r="D201" s="283">
        <v>1909</v>
      </c>
      <c r="E201" s="294">
        <v>5904</v>
      </c>
    </row>
    <row r="202" spans="4:5">
      <c r="D202" s="283">
        <v>2002</v>
      </c>
      <c r="E202" s="20">
        <v>6101</v>
      </c>
    </row>
    <row r="203" spans="4:5">
      <c r="D203" s="283">
        <v>2006</v>
      </c>
      <c r="E203" s="20">
        <v>6104</v>
      </c>
    </row>
    <row r="204" spans="4:5">
      <c r="D204" s="283">
        <v>2007</v>
      </c>
      <c r="E204" s="20">
        <v>6105</v>
      </c>
    </row>
    <row r="205" spans="4:5">
      <c r="D205" s="283">
        <v>2008</v>
      </c>
      <c r="E205" s="20">
        <v>6120</v>
      </c>
    </row>
    <row r="206" spans="4:5">
      <c r="D206" s="283">
        <v>2009</v>
      </c>
      <c r="E206" s="294">
        <v>6127</v>
      </c>
    </row>
    <row r="207" spans="4:5">
      <c r="D207" s="283">
        <v>2010</v>
      </c>
      <c r="E207" s="294">
        <v>6129</v>
      </c>
    </row>
    <row r="208" spans="4:5">
      <c r="D208" s="283">
        <v>2012</v>
      </c>
      <c r="E208" s="20">
        <v>6143</v>
      </c>
    </row>
    <row r="209" spans="4:5">
      <c r="D209" s="283">
        <v>2013</v>
      </c>
      <c r="E209" s="294">
        <v>6147</v>
      </c>
    </row>
    <row r="210" spans="4:5">
      <c r="D210" s="283">
        <v>2014</v>
      </c>
      <c r="E210" s="20">
        <v>6155</v>
      </c>
    </row>
    <row r="211" spans="4:5">
      <c r="D211" s="283">
        <v>2015</v>
      </c>
      <c r="E211" s="20">
        <v>6166</v>
      </c>
    </row>
    <row r="212" spans="4:5">
      <c r="D212" s="283">
        <v>2017</v>
      </c>
      <c r="E212" s="20">
        <v>6171</v>
      </c>
    </row>
    <row r="213" spans="4:5">
      <c r="D213" s="283">
        <v>2020</v>
      </c>
      <c r="E213" s="20">
        <v>6173</v>
      </c>
    </row>
    <row r="214" spans="4:5">
      <c r="D214" s="283">
        <v>2022</v>
      </c>
      <c r="E214" s="294">
        <v>6176</v>
      </c>
    </row>
    <row r="215" spans="4:5">
      <c r="D215" s="283">
        <v>2023</v>
      </c>
      <c r="E215" s="20">
        <v>6179</v>
      </c>
    </row>
    <row r="216" spans="4:5">
      <c r="D216" s="283">
        <v>2024</v>
      </c>
      <c r="E216" s="20">
        <v>6185</v>
      </c>
    </row>
    <row r="217" spans="4:5">
      <c r="D217" s="283">
        <v>2025</v>
      </c>
      <c r="E217" s="20">
        <v>6187</v>
      </c>
    </row>
    <row r="218" spans="4:5">
      <c r="D218" s="283">
        <v>2027</v>
      </c>
      <c r="E218" s="20">
        <v>6192</v>
      </c>
    </row>
    <row r="219" spans="4:5">
      <c r="D219" s="283">
        <v>2028</v>
      </c>
      <c r="E219" s="20">
        <v>6197</v>
      </c>
    </row>
    <row r="220" spans="4:5">
      <c r="D220" s="283">
        <v>2029</v>
      </c>
      <c r="E220" s="294">
        <v>6202</v>
      </c>
    </row>
    <row r="221" spans="4:5">
      <c r="D221" s="283">
        <v>2030</v>
      </c>
      <c r="E221" s="20">
        <v>6207</v>
      </c>
    </row>
    <row r="222" spans="4:5">
      <c r="D222" s="283">
        <v>2031</v>
      </c>
      <c r="E222" s="20">
        <v>6210</v>
      </c>
    </row>
    <row r="223" spans="4:5">
      <c r="D223" s="283">
        <v>2032</v>
      </c>
      <c r="E223" s="294">
        <v>6213</v>
      </c>
    </row>
    <row r="224" spans="4:5">
      <c r="D224" s="283">
        <v>2033</v>
      </c>
      <c r="E224" s="20">
        <v>6218</v>
      </c>
    </row>
    <row r="225" spans="4:5">
      <c r="D225" s="283">
        <v>2034</v>
      </c>
      <c r="E225" s="20">
        <v>6230</v>
      </c>
    </row>
    <row r="226" spans="4:5">
      <c r="D226" s="283">
        <v>2038</v>
      </c>
      <c r="E226" s="20">
        <v>6231</v>
      </c>
    </row>
    <row r="227" spans="4:5">
      <c r="D227" s="283">
        <v>2049</v>
      </c>
      <c r="E227" s="20">
        <v>6234</v>
      </c>
    </row>
    <row r="228" spans="4:5">
      <c r="D228" s="283">
        <v>2059</v>
      </c>
      <c r="E228" s="20">
        <v>6244</v>
      </c>
    </row>
    <row r="229" spans="4:5">
      <c r="D229" s="283">
        <v>2062</v>
      </c>
      <c r="E229" s="294">
        <v>6251</v>
      </c>
    </row>
    <row r="230" spans="4:5">
      <c r="D230" s="283">
        <v>2101</v>
      </c>
      <c r="E230" s="20">
        <v>6257</v>
      </c>
    </row>
    <row r="231" spans="4:5">
      <c r="D231" s="283">
        <v>2102</v>
      </c>
      <c r="E231" s="20">
        <v>6263</v>
      </c>
    </row>
    <row r="232" spans="4:5">
      <c r="D232" s="283">
        <v>2103</v>
      </c>
      <c r="E232" s="20">
        <v>6271</v>
      </c>
    </row>
    <row r="233" spans="4:5">
      <c r="D233" s="283">
        <v>2104</v>
      </c>
      <c r="E233" s="294">
        <v>6274</v>
      </c>
    </row>
    <row r="234" spans="4:5">
      <c r="D234" s="283">
        <v>2105</v>
      </c>
      <c r="E234" s="294">
        <v>6278</v>
      </c>
    </row>
    <row r="235" spans="4:5">
      <c r="D235" s="283">
        <v>2106</v>
      </c>
      <c r="E235" s="20">
        <v>6286</v>
      </c>
    </row>
    <row r="236" spans="4:5">
      <c r="D236" s="283">
        <v>2107</v>
      </c>
      <c r="E236" s="20">
        <v>6290</v>
      </c>
    </row>
    <row r="237" spans="4:5">
      <c r="D237" s="283">
        <v>2108</v>
      </c>
      <c r="E237" s="20">
        <v>6414</v>
      </c>
    </row>
    <row r="238" spans="4:5">
      <c r="D238" s="283">
        <v>2109</v>
      </c>
      <c r="E238" s="20">
        <v>6417</v>
      </c>
    </row>
    <row r="239" spans="4:5">
      <c r="D239" s="283">
        <v>2114</v>
      </c>
      <c r="E239" s="20">
        <v>6443</v>
      </c>
    </row>
    <row r="240" spans="4:5">
      <c r="D240" s="283">
        <v>2115</v>
      </c>
      <c r="E240" s="20">
        <v>6451</v>
      </c>
    </row>
    <row r="241" spans="4:5">
      <c r="D241" s="283">
        <v>2201</v>
      </c>
      <c r="E241" s="20">
        <v>6456</v>
      </c>
    </row>
    <row r="242" spans="4:5">
      <c r="D242" s="283">
        <v>2204</v>
      </c>
      <c r="E242" s="20">
        <v>6505</v>
      </c>
    </row>
    <row r="243" spans="4:5">
      <c r="D243" s="283">
        <v>2206</v>
      </c>
      <c r="E243" s="20">
        <v>6506</v>
      </c>
    </row>
    <row r="244" spans="4:5">
      <c r="D244" s="283">
        <v>2207</v>
      </c>
      <c r="E244" s="20">
        <v>6803</v>
      </c>
    </row>
    <row r="245" spans="4:5">
      <c r="D245" s="283">
        <v>2208</v>
      </c>
      <c r="E245" s="294">
        <v>8039</v>
      </c>
    </row>
    <row r="246" spans="4:5">
      <c r="D246" s="283">
        <v>2227</v>
      </c>
      <c r="E246" s="20">
        <v>8040</v>
      </c>
    </row>
    <row r="247" spans="4:5">
      <c r="D247" s="283">
        <v>2228</v>
      </c>
      <c r="E247" s="20">
        <v>8046</v>
      </c>
    </row>
    <row r="248" spans="4:5">
      <c r="D248" s="283">
        <v>2231</v>
      </c>
      <c r="E248" s="20">
        <v>8050</v>
      </c>
    </row>
    <row r="249" spans="4:5">
      <c r="D249" s="283">
        <v>2236</v>
      </c>
      <c r="E249" s="20">
        <v>8053</v>
      </c>
    </row>
    <row r="250" spans="4:5">
      <c r="D250" s="283">
        <v>2301</v>
      </c>
      <c r="E250" s="20">
        <v>8059</v>
      </c>
    </row>
    <row r="251" spans="4:5">
      <c r="D251" s="283">
        <v>2302</v>
      </c>
      <c r="E251" s="20">
        <v>8074</v>
      </c>
    </row>
    <row r="252" spans="4:5">
      <c r="D252" s="283">
        <v>2303</v>
      </c>
      <c r="E252" s="20">
        <v>8079</v>
      </c>
    </row>
    <row r="253" spans="4:5">
      <c r="D253" s="283">
        <v>2305</v>
      </c>
      <c r="E253" s="294">
        <v>8083</v>
      </c>
    </row>
    <row r="254" spans="4:5">
      <c r="D254" s="283">
        <v>2308</v>
      </c>
      <c r="E254" s="294">
        <v>8086</v>
      </c>
    </row>
    <row r="255" spans="4:5">
      <c r="D255" s="283">
        <v>2311</v>
      </c>
      <c r="E255" s="20">
        <v>8103</v>
      </c>
    </row>
    <row r="256" spans="4:5">
      <c r="D256" s="283">
        <v>2312</v>
      </c>
      <c r="E256" s="294">
        <v>8105</v>
      </c>
    </row>
    <row r="257" spans="4:5">
      <c r="D257" s="283">
        <v>2313</v>
      </c>
      <c r="E257" s="20">
        <v>8114</v>
      </c>
    </row>
    <row r="258" spans="4:5">
      <c r="D258" s="283">
        <v>2314</v>
      </c>
      <c r="E258" s="20">
        <v>8222</v>
      </c>
    </row>
    <row r="259" spans="4:5">
      <c r="D259" s="283">
        <v>2316</v>
      </c>
      <c r="E259" s="20">
        <v>8255</v>
      </c>
    </row>
    <row r="260" spans="4:5">
      <c r="D260" s="283">
        <v>2317</v>
      </c>
      <c r="E260" s="20">
        <v>8261</v>
      </c>
    </row>
    <row r="261" spans="4:5">
      <c r="D261" s="283">
        <v>2321</v>
      </c>
      <c r="E261" s="20">
        <v>8354</v>
      </c>
    </row>
    <row r="262" spans="4:5">
      <c r="D262" s="283">
        <v>2323</v>
      </c>
      <c r="E262" s="20">
        <v>8401</v>
      </c>
    </row>
    <row r="263" spans="4:5">
      <c r="D263" s="283">
        <v>2324</v>
      </c>
      <c r="E263" s="20">
        <v>8404</v>
      </c>
    </row>
    <row r="264" spans="4:5">
      <c r="D264" s="283">
        <v>2325</v>
      </c>
      <c r="E264" s="20">
        <v>8421</v>
      </c>
    </row>
    <row r="265" spans="4:5">
      <c r="D265" s="283">
        <v>2327</v>
      </c>
      <c r="E265" s="20">
        <v>8422</v>
      </c>
    </row>
    <row r="266" spans="4:5">
      <c r="D266" s="283">
        <v>2328</v>
      </c>
      <c r="E266" s="20">
        <v>8426</v>
      </c>
    </row>
    <row r="267" spans="4:5">
      <c r="D267" s="283">
        <v>2329</v>
      </c>
      <c r="E267" s="20">
        <v>8429</v>
      </c>
    </row>
    <row r="268" spans="4:5">
      <c r="D268" s="283">
        <v>2330</v>
      </c>
      <c r="E268" s="20">
        <v>8437</v>
      </c>
    </row>
    <row r="269" spans="4:5">
      <c r="D269" s="283">
        <v>2331</v>
      </c>
      <c r="E269" s="294">
        <v>8454</v>
      </c>
    </row>
    <row r="270" spans="4:5">
      <c r="D270" s="283">
        <v>2332</v>
      </c>
      <c r="E270" s="20">
        <v>8935</v>
      </c>
    </row>
    <row r="271" spans="4:5">
      <c r="D271" s="283">
        <v>2337</v>
      </c>
      <c r="E271" s="20">
        <v>8936</v>
      </c>
    </row>
    <row r="272" spans="4:5">
      <c r="D272" s="283">
        <v>2338</v>
      </c>
      <c r="E272" s="294">
        <v>8942</v>
      </c>
    </row>
    <row r="273" spans="4:5">
      <c r="D273" s="283">
        <v>2340</v>
      </c>
      <c r="E273" s="20">
        <v>9802</v>
      </c>
    </row>
    <row r="274" spans="4:5">
      <c r="D274" s="283">
        <v>2342</v>
      </c>
      <c r="E274" s="20">
        <v>9907</v>
      </c>
    </row>
    <row r="275" spans="4:5">
      <c r="D275" s="283">
        <v>2344</v>
      </c>
      <c r="E275" s="20">
        <v>9911</v>
      </c>
    </row>
    <row r="276" spans="4:5">
      <c r="D276" s="283">
        <v>2345</v>
      </c>
      <c r="E276" s="20">
        <v>9924</v>
      </c>
    </row>
    <row r="277" spans="4:5">
      <c r="D277" s="283">
        <v>2347</v>
      </c>
      <c r="E277" s="20">
        <v>9933</v>
      </c>
    </row>
    <row r="278" spans="4:5">
      <c r="D278" s="283">
        <v>2348</v>
      </c>
      <c r="E278" s="20">
        <v>9938</v>
      </c>
    </row>
    <row r="279" spans="4:5">
      <c r="D279" s="283">
        <v>2349</v>
      </c>
      <c r="E279" s="294">
        <v>9940</v>
      </c>
    </row>
    <row r="280" spans="4:5">
      <c r="D280" s="283">
        <v>2351</v>
      </c>
      <c r="E280" s="20">
        <v>9951</v>
      </c>
    </row>
    <row r="281" spans="4:5">
      <c r="D281" s="283">
        <v>2352</v>
      </c>
    </row>
    <row r="282" spans="4:5">
      <c r="D282" s="283">
        <v>2353</v>
      </c>
    </row>
    <row r="283" spans="4:5">
      <c r="D283" s="283">
        <v>2354</v>
      </c>
    </row>
    <row r="284" spans="4:5">
      <c r="D284" s="283">
        <v>2355</v>
      </c>
    </row>
    <row r="285" spans="4:5">
      <c r="D285" s="283">
        <v>2356</v>
      </c>
    </row>
    <row r="286" spans="4:5">
      <c r="D286" s="283">
        <v>2357</v>
      </c>
    </row>
    <row r="287" spans="4:5">
      <c r="D287" s="283">
        <v>2358</v>
      </c>
    </row>
    <row r="288" spans="4:5">
      <c r="D288" s="283">
        <v>2359</v>
      </c>
    </row>
    <row r="289" spans="4:4">
      <c r="D289" s="283">
        <v>2360</v>
      </c>
    </row>
    <row r="290" spans="4:4">
      <c r="D290" s="283">
        <v>2361</v>
      </c>
    </row>
    <row r="291" spans="4:4">
      <c r="D291" s="283">
        <v>2362</v>
      </c>
    </row>
    <row r="292" spans="4:4">
      <c r="D292" s="283">
        <v>2363</v>
      </c>
    </row>
    <row r="293" spans="4:4">
      <c r="D293" s="283">
        <v>2364</v>
      </c>
    </row>
    <row r="294" spans="4:4">
      <c r="D294" s="283">
        <v>2365</v>
      </c>
    </row>
    <row r="295" spans="4:4">
      <c r="D295" s="283">
        <v>2367</v>
      </c>
    </row>
    <row r="296" spans="4:4">
      <c r="D296" s="283">
        <v>2368</v>
      </c>
    </row>
    <row r="297" spans="4:4">
      <c r="D297" s="283">
        <v>2369</v>
      </c>
    </row>
    <row r="298" spans="4:4">
      <c r="D298" s="283">
        <v>2371</v>
      </c>
    </row>
    <row r="299" spans="4:4">
      <c r="D299" s="283">
        <v>2373</v>
      </c>
    </row>
    <row r="300" spans="4:4">
      <c r="D300" s="283">
        <v>2374</v>
      </c>
    </row>
    <row r="301" spans="4:4">
      <c r="D301" s="283">
        <v>2375</v>
      </c>
    </row>
    <row r="302" spans="4:4">
      <c r="D302" s="283">
        <v>2376</v>
      </c>
    </row>
    <row r="303" spans="4:4">
      <c r="D303" s="283">
        <v>2377</v>
      </c>
    </row>
    <row r="304" spans="4:4">
      <c r="D304" s="283">
        <v>2379</v>
      </c>
    </row>
    <row r="305" spans="4:5">
      <c r="D305" s="283">
        <v>2380</v>
      </c>
    </row>
    <row r="306" spans="4:5">
      <c r="D306" s="283">
        <v>2382</v>
      </c>
    </row>
    <row r="307" spans="4:5">
      <c r="D307" s="283">
        <v>2383</v>
      </c>
      <c r="E307" s="283">
        <v>1215</v>
      </c>
    </row>
    <row r="308" spans="4:5">
      <c r="D308" s="283">
        <v>2385</v>
      </c>
      <c r="E308" s="283">
        <v>1216</v>
      </c>
    </row>
    <row r="309" spans="4:5">
      <c r="D309" s="283">
        <v>2387</v>
      </c>
      <c r="E309" s="283">
        <v>1231</v>
      </c>
    </row>
    <row r="310" spans="4:5">
      <c r="D310" s="283">
        <v>2388</v>
      </c>
      <c r="E310" s="283">
        <v>1232</v>
      </c>
    </row>
    <row r="311" spans="4:5">
      <c r="D311" s="283">
        <v>2390</v>
      </c>
      <c r="E311" s="283">
        <v>1233</v>
      </c>
    </row>
    <row r="312" spans="4:5">
      <c r="D312" s="283">
        <v>2392</v>
      </c>
      <c r="E312" s="283">
        <v>1234</v>
      </c>
    </row>
    <row r="313" spans="4:5">
      <c r="D313" s="283">
        <v>2393</v>
      </c>
      <c r="E313" s="283">
        <v>1236</v>
      </c>
    </row>
    <row r="314" spans="4:5">
      <c r="D314" s="283">
        <v>2395</v>
      </c>
      <c r="E314" s="283">
        <v>1262</v>
      </c>
    </row>
    <row r="315" spans="4:5">
      <c r="D315" s="283">
        <v>2397</v>
      </c>
      <c r="E315" s="283">
        <v>1301</v>
      </c>
    </row>
    <row r="316" spans="4:5">
      <c r="D316" s="283">
        <v>2399</v>
      </c>
      <c r="E316" s="283">
        <v>1303</v>
      </c>
    </row>
    <row r="317" spans="4:5">
      <c r="D317" s="283">
        <v>2401</v>
      </c>
      <c r="E317" s="283">
        <v>1319</v>
      </c>
    </row>
    <row r="318" spans="4:5">
      <c r="D318" s="283">
        <v>2402</v>
      </c>
      <c r="E318" s="222">
        <v>1410</v>
      </c>
    </row>
    <row r="319" spans="4:5">
      <c r="D319" s="283">
        <v>2404</v>
      </c>
      <c r="E319" s="222">
        <v>1434</v>
      </c>
    </row>
    <row r="320" spans="4:5">
      <c r="D320" s="283">
        <v>2405</v>
      </c>
      <c r="E320" s="222">
        <v>1435</v>
      </c>
    </row>
    <row r="321" spans="4:5">
      <c r="D321" s="283">
        <v>2406</v>
      </c>
      <c r="E321" s="222">
        <v>1438</v>
      </c>
    </row>
    <row r="322" spans="4:5">
      <c r="D322" s="283">
        <v>2408</v>
      </c>
      <c r="E322" s="222">
        <v>1440</v>
      </c>
    </row>
    <row r="323" spans="4:5">
      <c r="D323" s="283">
        <v>2409</v>
      </c>
      <c r="E323" s="222">
        <v>1441</v>
      </c>
    </row>
    <row r="324" spans="4:5">
      <c r="D324" s="283">
        <v>2412</v>
      </c>
      <c r="E324" s="222">
        <v>1445</v>
      </c>
    </row>
    <row r="325" spans="4:5">
      <c r="D325" s="283">
        <v>2413</v>
      </c>
      <c r="E325" s="222">
        <v>1451</v>
      </c>
    </row>
    <row r="326" spans="4:5">
      <c r="D326" s="283">
        <v>2414</v>
      </c>
      <c r="E326" s="222">
        <v>1460</v>
      </c>
    </row>
    <row r="327" spans="4:5">
      <c r="D327" s="283">
        <v>2415</v>
      </c>
      <c r="E327" s="222">
        <v>1469</v>
      </c>
    </row>
    <row r="328" spans="4:5">
      <c r="D328" s="283">
        <v>2417</v>
      </c>
      <c r="E328" s="222">
        <v>1473</v>
      </c>
    </row>
    <row r="329" spans="4:5">
      <c r="D329" s="283">
        <v>2419</v>
      </c>
      <c r="E329" s="222">
        <v>1476</v>
      </c>
    </row>
    <row r="330" spans="4:5">
      <c r="D330" s="283">
        <v>2420</v>
      </c>
      <c r="E330" s="222">
        <v>1477</v>
      </c>
    </row>
    <row r="331" spans="4:5">
      <c r="D331" s="283">
        <v>2421</v>
      </c>
      <c r="E331" s="222">
        <v>1515</v>
      </c>
    </row>
    <row r="332" spans="4:5">
      <c r="D332" s="283">
        <v>2423</v>
      </c>
      <c r="E332" s="222">
        <v>1516</v>
      </c>
    </row>
    <row r="333" spans="4:5">
      <c r="D333" s="283">
        <v>2424</v>
      </c>
      <c r="E333" s="222">
        <v>1519</v>
      </c>
    </row>
    <row r="334" spans="4:5">
      <c r="D334" s="283">
        <v>2425</v>
      </c>
      <c r="E334" s="222">
        <v>1524</v>
      </c>
    </row>
    <row r="335" spans="4:5">
      <c r="D335" s="283">
        <v>2426</v>
      </c>
      <c r="E335" s="222">
        <v>1527</v>
      </c>
    </row>
    <row r="336" spans="4:5">
      <c r="D336" s="283">
        <v>2427</v>
      </c>
      <c r="E336" s="222">
        <v>1536</v>
      </c>
    </row>
    <row r="337" spans="4:5">
      <c r="D337" s="283">
        <v>2428</v>
      </c>
      <c r="E337" s="222">
        <v>1558</v>
      </c>
    </row>
    <row r="338" spans="4:5">
      <c r="D338" s="283">
        <v>2429</v>
      </c>
      <c r="E338" s="222">
        <v>1589</v>
      </c>
    </row>
    <row r="339" spans="4:5">
      <c r="D339" s="283">
        <v>2430</v>
      </c>
      <c r="E339" s="222">
        <v>1590</v>
      </c>
    </row>
    <row r="340" spans="4:5">
      <c r="D340" s="283">
        <v>2431</v>
      </c>
      <c r="E340" s="222">
        <v>1612</v>
      </c>
    </row>
    <row r="341" spans="4:5">
      <c r="D341" s="283">
        <v>2433</v>
      </c>
      <c r="E341" s="222">
        <v>1701</v>
      </c>
    </row>
    <row r="342" spans="4:5">
      <c r="D342" s="283">
        <v>2434</v>
      </c>
      <c r="E342" s="222">
        <v>1707</v>
      </c>
    </row>
    <row r="343" spans="4:5">
      <c r="D343" s="283">
        <v>2436</v>
      </c>
      <c r="E343" s="222">
        <v>1713</v>
      </c>
    </row>
    <row r="344" spans="4:5">
      <c r="D344" s="283">
        <v>2437</v>
      </c>
      <c r="E344" s="222">
        <v>1723</v>
      </c>
    </row>
    <row r="345" spans="4:5">
      <c r="D345" s="283">
        <v>2438</v>
      </c>
      <c r="E345" s="222">
        <v>1726</v>
      </c>
    </row>
    <row r="346" spans="4:5">
      <c r="D346" s="283">
        <v>2439</v>
      </c>
      <c r="E346" s="222">
        <v>1731</v>
      </c>
    </row>
    <row r="347" spans="4:5">
      <c r="D347" s="283">
        <v>2440</v>
      </c>
      <c r="E347" s="222">
        <v>1733</v>
      </c>
    </row>
    <row r="348" spans="4:5">
      <c r="D348" s="283">
        <v>2441</v>
      </c>
      <c r="E348" s="222">
        <v>1736</v>
      </c>
    </row>
    <row r="349" spans="4:5">
      <c r="D349" s="283">
        <v>2442</v>
      </c>
      <c r="E349" s="222">
        <v>1737</v>
      </c>
    </row>
    <row r="350" spans="4:5">
      <c r="D350" s="283">
        <v>2443</v>
      </c>
      <c r="E350" s="222">
        <v>1808</v>
      </c>
    </row>
    <row r="351" spans="4:5">
      <c r="D351" s="283">
        <v>2444</v>
      </c>
      <c r="E351" s="222">
        <v>1809</v>
      </c>
    </row>
    <row r="352" spans="4:5">
      <c r="D352" s="283">
        <v>2448</v>
      </c>
      <c r="E352" s="222">
        <v>1906</v>
      </c>
    </row>
    <row r="353" spans="4:5">
      <c r="D353" s="283">
        <v>2449</v>
      </c>
      <c r="E353" s="222">
        <v>2002</v>
      </c>
    </row>
    <row r="354" spans="4:5">
      <c r="D354" s="283">
        <v>2450</v>
      </c>
      <c r="E354" s="222">
        <v>2008</v>
      </c>
    </row>
    <row r="355" spans="4:5">
      <c r="D355" s="283">
        <v>2451</v>
      </c>
      <c r="E355" s="222">
        <v>2012</v>
      </c>
    </row>
    <row r="356" spans="4:5">
      <c r="D356" s="283">
        <v>2453</v>
      </c>
      <c r="E356" s="222">
        <v>2014</v>
      </c>
    </row>
    <row r="357" spans="4:5">
      <c r="D357" s="283">
        <v>2454</v>
      </c>
      <c r="E357" s="222">
        <v>2024</v>
      </c>
    </row>
    <row r="358" spans="4:5">
      <c r="D358" s="283">
        <v>2455</v>
      </c>
      <c r="E358" s="222">
        <v>2025</v>
      </c>
    </row>
    <row r="359" spans="4:5">
      <c r="D359" s="283">
        <v>2456</v>
      </c>
      <c r="E359" s="222">
        <v>2030</v>
      </c>
    </row>
    <row r="360" spans="4:5">
      <c r="D360" s="283">
        <v>2457</v>
      </c>
      <c r="E360" s="222">
        <v>2032</v>
      </c>
    </row>
    <row r="361" spans="4:5">
      <c r="D361" s="283">
        <v>2458</v>
      </c>
      <c r="E361" s="222">
        <v>2033</v>
      </c>
    </row>
    <row r="362" spans="4:5">
      <c r="D362" s="283">
        <v>2459</v>
      </c>
      <c r="E362" s="222">
        <v>2034</v>
      </c>
    </row>
    <row r="363" spans="4:5">
      <c r="D363" s="283">
        <v>2460</v>
      </c>
      <c r="E363" s="222">
        <v>2049</v>
      </c>
    </row>
    <row r="364" spans="4:5">
      <c r="D364" s="283">
        <v>2461</v>
      </c>
      <c r="E364" s="222">
        <v>2105</v>
      </c>
    </row>
    <row r="365" spans="4:5">
      <c r="D365" s="283">
        <v>2462</v>
      </c>
      <c r="E365" s="222">
        <v>2207</v>
      </c>
    </row>
    <row r="366" spans="4:5">
      <c r="D366" s="283">
        <v>2464</v>
      </c>
      <c r="E366" s="222">
        <v>2208</v>
      </c>
    </row>
    <row r="367" spans="4:5">
      <c r="D367" s="283">
        <v>2465</v>
      </c>
      <c r="E367" s="222">
        <v>2228</v>
      </c>
    </row>
    <row r="368" spans="4:5">
      <c r="D368" s="283">
        <v>2466</v>
      </c>
      <c r="E368" s="222">
        <v>2231</v>
      </c>
    </row>
    <row r="369" spans="4:5">
      <c r="D369" s="283">
        <v>2467</v>
      </c>
      <c r="E369" s="222">
        <v>2236</v>
      </c>
    </row>
    <row r="370" spans="4:5">
      <c r="D370" s="283">
        <v>2468</v>
      </c>
      <c r="E370" s="283">
        <v>2313</v>
      </c>
    </row>
    <row r="371" spans="4:5">
      <c r="D371" s="283">
        <v>2471</v>
      </c>
      <c r="E371" s="283">
        <v>2314</v>
      </c>
    </row>
    <row r="372" spans="4:5">
      <c r="D372" s="283">
        <v>2472</v>
      </c>
      <c r="E372" s="283">
        <v>2327</v>
      </c>
    </row>
    <row r="373" spans="4:5">
      <c r="D373" s="283">
        <v>2474</v>
      </c>
      <c r="E373" s="283">
        <v>2328</v>
      </c>
    </row>
    <row r="374" spans="4:5">
      <c r="D374" s="283">
        <v>2475</v>
      </c>
      <c r="E374" s="283">
        <v>2330</v>
      </c>
    </row>
    <row r="375" spans="4:5">
      <c r="D375" s="283">
        <v>2476</v>
      </c>
      <c r="E375" s="283">
        <v>2337</v>
      </c>
    </row>
    <row r="376" spans="4:5">
      <c r="D376" s="283">
        <v>2477</v>
      </c>
      <c r="E376" s="283">
        <v>2340</v>
      </c>
    </row>
    <row r="377" spans="4:5">
      <c r="D377" s="283">
        <v>2478</v>
      </c>
      <c r="E377" s="283">
        <v>2345</v>
      </c>
    </row>
    <row r="378" spans="4:5">
      <c r="D378" s="283">
        <v>2480</v>
      </c>
      <c r="E378" s="283">
        <v>2357</v>
      </c>
    </row>
    <row r="379" spans="4:5">
      <c r="D379" s="283">
        <v>2481</v>
      </c>
      <c r="E379" s="283">
        <v>2365</v>
      </c>
    </row>
    <row r="380" spans="4:5">
      <c r="D380" s="283">
        <v>2482</v>
      </c>
      <c r="E380" s="283">
        <v>2373</v>
      </c>
    </row>
    <row r="381" spans="4:5">
      <c r="D381" s="283">
        <v>2483</v>
      </c>
      <c r="E381" s="283">
        <v>2379</v>
      </c>
    </row>
    <row r="382" spans="4:5">
      <c r="D382" s="283">
        <v>2484</v>
      </c>
      <c r="E382" s="283">
        <v>2380</v>
      </c>
    </row>
    <row r="383" spans="4:5">
      <c r="D383" s="283">
        <v>2485</v>
      </c>
      <c r="E383" s="283">
        <v>2382</v>
      </c>
    </row>
    <row r="384" spans="4:5">
      <c r="D384" s="283">
        <v>2486</v>
      </c>
      <c r="E384" s="283">
        <v>2387</v>
      </c>
    </row>
    <row r="385" spans="4:5">
      <c r="D385" s="283">
        <v>2488</v>
      </c>
      <c r="E385" s="283">
        <v>2405</v>
      </c>
    </row>
    <row r="386" spans="4:5">
      <c r="D386" s="283">
        <v>2489</v>
      </c>
      <c r="E386" s="283">
        <v>2408</v>
      </c>
    </row>
    <row r="387" spans="4:5">
      <c r="D387" s="283">
        <v>2491</v>
      </c>
      <c r="E387" s="283">
        <v>2412</v>
      </c>
    </row>
    <row r="388" spans="4:5">
      <c r="D388" s="283">
        <v>2492</v>
      </c>
      <c r="E388" s="283">
        <v>2413</v>
      </c>
    </row>
    <row r="389" spans="4:5">
      <c r="D389" s="283">
        <v>2493</v>
      </c>
      <c r="E389" s="283">
        <v>2415</v>
      </c>
    </row>
    <row r="390" spans="4:5">
      <c r="D390" s="283">
        <v>2495</v>
      </c>
      <c r="E390" s="283">
        <v>2421</v>
      </c>
    </row>
    <row r="391" spans="4:5">
      <c r="D391" s="283">
        <v>2496</v>
      </c>
      <c r="E391" s="283">
        <v>2426</v>
      </c>
    </row>
    <row r="392" spans="4:5">
      <c r="D392" s="283">
        <v>2497</v>
      </c>
      <c r="E392" s="283">
        <v>2428</v>
      </c>
    </row>
    <row r="393" spans="4:5">
      <c r="D393" s="283">
        <v>2498</v>
      </c>
      <c r="E393" s="283">
        <v>2433</v>
      </c>
    </row>
    <row r="394" spans="4:5">
      <c r="D394" s="283">
        <v>2499</v>
      </c>
      <c r="E394" s="283">
        <v>2436</v>
      </c>
    </row>
    <row r="395" spans="4:5">
      <c r="D395" s="283">
        <v>2501</v>
      </c>
      <c r="E395" s="283">
        <v>2441</v>
      </c>
    </row>
    <row r="396" spans="4:5">
      <c r="D396" s="283">
        <v>2504</v>
      </c>
      <c r="E396" s="283">
        <v>2443</v>
      </c>
    </row>
    <row r="397" spans="4:5">
      <c r="D397" s="283">
        <v>2505</v>
      </c>
      <c r="E397" s="283">
        <v>2450</v>
      </c>
    </row>
    <row r="398" spans="4:5">
      <c r="D398" s="283">
        <v>2506</v>
      </c>
      <c r="E398" s="283">
        <v>2456</v>
      </c>
    </row>
    <row r="399" spans="4:5">
      <c r="D399" s="283">
        <v>2509</v>
      </c>
      <c r="E399" s="283">
        <v>2458</v>
      </c>
    </row>
    <row r="400" spans="4:5">
      <c r="D400" s="283">
        <v>2511</v>
      </c>
      <c r="E400" s="283">
        <v>2471</v>
      </c>
    </row>
    <row r="401" spans="4:6">
      <c r="D401" s="283">
        <v>2515</v>
      </c>
      <c r="E401" s="283">
        <v>2472</v>
      </c>
      <c r="F401" s="222"/>
    </row>
    <row r="402" spans="4:6">
      <c r="D402" s="283">
        <v>2516</v>
      </c>
      <c r="E402" s="283">
        <v>2476</v>
      </c>
      <c r="F402" s="222"/>
    </row>
    <row r="403" spans="4:6">
      <c r="D403" s="283">
        <v>2520</v>
      </c>
      <c r="E403" s="283">
        <v>2480</v>
      </c>
      <c r="F403" s="222"/>
    </row>
    <row r="404" spans="4:6">
      <c r="D404" s="283">
        <v>2524</v>
      </c>
      <c r="E404" s="283">
        <v>2481</v>
      </c>
      <c r="F404" s="222"/>
    </row>
    <row r="405" spans="4:6">
      <c r="D405" s="283">
        <v>2527</v>
      </c>
      <c r="E405" s="283">
        <v>2483</v>
      </c>
      <c r="F405" s="222"/>
    </row>
    <row r="406" spans="4:6">
      <c r="D406" s="283">
        <v>2528</v>
      </c>
      <c r="E406" s="283">
        <v>2484</v>
      </c>
      <c r="F406" s="222"/>
    </row>
    <row r="407" spans="4:6">
      <c r="D407" s="283">
        <v>2530</v>
      </c>
      <c r="E407" s="283">
        <v>2488</v>
      </c>
      <c r="F407" s="222"/>
    </row>
    <row r="408" spans="4:6">
      <c r="D408" s="283">
        <v>2534</v>
      </c>
      <c r="E408" s="283">
        <v>2492</v>
      </c>
      <c r="F408" s="222"/>
    </row>
    <row r="409" spans="4:6">
      <c r="D409" s="283">
        <v>2535</v>
      </c>
      <c r="E409" s="283">
        <v>2493</v>
      </c>
      <c r="F409" s="222"/>
    </row>
    <row r="410" spans="4:6">
      <c r="D410" s="283">
        <v>2536</v>
      </c>
      <c r="E410" s="283">
        <v>2495</v>
      </c>
      <c r="F410" s="222"/>
    </row>
    <row r="411" spans="4:6">
      <c r="D411" s="283">
        <v>2537</v>
      </c>
      <c r="E411" s="283">
        <v>2498</v>
      </c>
      <c r="F411" s="222"/>
    </row>
    <row r="412" spans="4:6">
      <c r="D412" s="283">
        <v>2538</v>
      </c>
      <c r="E412" s="283">
        <v>2506</v>
      </c>
      <c r="F412" s="222"/>
    </row>
    <row r="413" spans="4:6">
      <c r="D413" s="283">
        <v>2539</v>
      </c>
      <c r="E413" s="283">
        <v>2509</v>
      </c>
      <c r="F413" s="222"/>
    </row>
    <row r="414" spans="4:6">
      <c r="D414" s="283">
        <v>2540</v>
      </c>
      <c r="E414" s="283">
        <v>2534</v>
      </c>
      <c r="F414" s="222"/>
    </row>
    <row r="415" spans="4:6">
      <c r="D415" s="283">
        <v>2542</v>
      </c>
      <c r="E415" s="283">
        <v>2537</v>
      </c>
      <c r="F415" s="222"/>
    </row>
    <row r="416" spans="4:6">
      <c r="D416" s="283">
        <v>2543</v>
      </c>
      <c r="E416" s="283">
        <v>2539</v>
      </c>
      <c r="F416" s="222"/>
    </row>
    <row r="417" spans="4:6">
      <c r="D417" s="283">
        <v>2545</v>
      </c>
      <c r="E417" s="283">
        <v>2597</v>
      </c>
      <c r="F417" s="222"/>
    </row>
    <row r="418" spans="4:6">
      <c r="D418" s="283">
        <v>2546</v>
      </c>
      <c r="E418" s="283">
        <v>2634</v>
      </c>
      <c r="F418" s="222"/>
    </row>
    <row r="419" spans="4:6">
      <c r="D419" s="283">
        <v>2547</v>
      </c>
      <c r="E419" s="283">
        <v>2702</v>
      </c>
      <c r="F419" s="222"/>
    </row>
    <row r="420" spans="4:6">
      <c r="D420" s="283">
        <v>2548</v>
      </c>
      <c r="E420" s="283">
        <v>2704</v>
      </c>
      <c r="F420" s="222"/>
    </row>
    <row r="421" spans="4:6">
      <c r="D421" s="283">
        <v>2597</v>
      </c>
      <c r="E421" s="283">
        <v>2723</v>
      </c>
      <c r="F421" s="222"/>
    </row>
    <row r="422" spans="4:6">
      <c r="D422" s="283">
        <v>2601</v>
      </c>
      <c r="E422" s="283">
        <v>2731</v>
      </c>
      <c r="F422" s="222"/>
    </row>
    <row r="423" spans="4:6">
      <c r="D423" s="283">
        <v>2603</v>
      </c>
      <c r="E423" s="283">
        <v>2901</v>
      </c>
      <c r="F423" s="222"/>
    </row>
    <row r="424" spans="4:6">
      <c r="D424" s="283">
        <v>2605</v>
      </c>
      <c r="E424" s="283">
        <v>2908</v>
      </c>
      <c r="F424" s="222"/>
    </row>
    <row r="425" spans="4:6">
      <c r="D425" s="283">
        <v>2606</v>
      </c>
      <c r="E425" s="283">
        <v>2912</v>
      </c>
      <c r="F425" s="222"/>
    </row>
    <row r="426" spans="4:6">
      <c r="D426" s="283">
        <v>2607</v>
      </c>
      <c r="E426" s="283">
        <v>2913</v>
      </c>
      <c r="F426" s="222"/>
    </row>
    <row r="427" spans="4:6">
      <c r="D427" s="283">
        <v>2608</v>
      </c>
      <c r="E427" s="283">
        <v>3003</v>
      </c>
      <c r="F427" s="222"/>
    </row>
    <row r="428" spans="4:6">
      <c r="D428" s="283">
        <v>2609</v>
      </c>
      <c r="E428" s="283">
        <v>3005</v>
      </c>
      <c r="F428" s="222"/>
    </row>
    <row r="429" spans="4:6">
      <c r="D429" s="283">
        <v>2610</v>
      </c>
      <c r="E429" s="283">
        <v>3006</v>
      </c>
      <c r="F429" s="222"/>
    </row>
    <row r="430" spans="4:6">
      <c r="D430" s="283">
        <v>2611</v>
      </c>
      <c r="E430" s="283">
        <v>3033</v>
      </c>
      <c r="F430" s="222"/>
    </row>
    <row r="431" spans="4:6">
      <c r="D431" s="283">
        <v>2612</v>
      </c>
      <c r="E431" s="283">
        <v>3042</v>
      </c>
      <c r="F431" s="222"/>
    </row>
    <row r="432" spans="4:6">
      <c r="D432" s="283">
        <v>2613</v>
      </c>
      <c r="E432" s="283">
        <v>3058</v>
      </c>
      <c r="F432" s="222"/>
    </row>
    <row r="433" spans="4:6">
      <c r="D433" s="283">
        <v>2614</v>
      </c>
      <c r="E433" s="283">
        <v>3060</v>
      </c>
      <c r="F433" s="222"/>
    </row>
    <row r="434" spans="4:6">
      <c r="D434" s="283">
        <v>2615</v>
      </c>
      <c r="E434" s="283">
        <v>3209</v>
      </c>
      <c r="F434" s="222"/>
    </row>
    <row r="435" spans="4:6">
      <c r="D435" s="283">
        <v>2616</v>
      </c>
      <c r="E435" s="283">
        <v>3231</v>
      </c>
      <c r="F435" s="222"/>
    </row>
    <row r="436" spans="4:6">
      <c r="D436" s="283">
        <v>2617</v>
      </c>
      <c r="E436" s="283">
        <v>3257</v>
      </c>
      <c r="F436" s="222"/>
    </row>
    <row r="437" spans="4:6">
      <c r="D437" s="283">
        <v>2618</v>
      </c>
      <c r="E437" s="283">
        <v>3266</v>
      </c>
      <c r="F437" s="222"/>
    </row>
    <row r="438" spans="4:6">
      <c r="D438" s="283">
        <v>2634</v>
      </c>
      <c r="E438" s="283">
        <v>3311</v>
      </c>
      <c r="F438" s="222"/>
    </row>
    <row r="439" spans="4:6">
      <c r="D439" s="283">
        <v>2637</v>
      </c>
      <c r="E439" s="283">
        <v>3338</v>
      </c>
      <c r="F439" s="222"/>
    </row>
    <row r="440" spans="4:6">
      <c r="D440" s="283">
        <v>2642</v>
      </c>
      <c r="E440" s="283">
        <v>3356</v>
      </c>
      <c r="F440" s="222"/>
    </row>
    <row r="441" spans="4:6">
      <c r="D441" s="283">
        <v>2701</v>
      </c>
      <c r="E441" s="283">
        <v>3416</v>
      </c>
      <c r="F441" s="222"/>
    </row>
    <row r="442" spans="4:6">
      <c r="D442" s="283">
        <v>2702</v>
      </c>
      <c r="E442" s="283">
        <v>3419</v>
      </c>
      <c r="F442" s="222"/>
    </row>
    <row r="443" spans="4:6">
      <c r="D443" s="283">
        <v>2704</v>
      </c>
      <c r="E443" s="283">
        <v>3474</v>
      </c>
      <c r="F443" s="222"/>
    </row>
    <row r="444" spans="4:6">
      <c r="D444" s="283">
        <v>2705</v>
      </c>
      <c r="E444" s="283">
        <v>3501</v>
      </c>
      <c r="F444" s="222"/>
    </row>
    <row r="445" spans="4:6">
      <c r="D445" s="283">
        <v>2706</v>
      </c>
      <c r="E445" s="283">
        <v>3532</v>
      </c>
      <c r="F445" s="222"/>
    </row>
    <row r="446" spans="4:6">
      <c r="D446" s="283">
        <v>2707</v>
      </c>
      <c r="E446" s="283">
        <v>3557</v>
      </c>
      <c r="F446" s="222"/>
    </row>
    <row r="447" spans="4:6">
      <c r="D447" s="283">
        <v>2712</v>
      </c>
      <c r="E447" s="283">
        <v>3559</v>
      </c>
      <c r="F447" s="222"/>
    </row>
    <row r="448" spans="4:6">
      <c r="D448" s="283">
        <v>2722</v>
      </c>
      <c r="E448" s="283">
        <v>3591</v>
      </c>
      <c r="F448" s="222"/>
    </row>
    <row r="449" spans="4:6">
      <c r="D449" s="283">
        <v>2723</v>
      </c>
      <c r="E449" s="283">
        <v>3596</v>
      </c>
      <c r="F449" s="222"/>
    </row>
    <row r="450" spans="4:6">
      <c r="D450" s="283">
        <v>2727</v>
      </c>
      <c r="E450" s="283">
        <v>3607</v>
      </c>
      <c r="F450" s="222"/>
    </row>
    <row r="451" spans="4:6">
      <c r="D451" s="283">
        <v>2731</v>
      </c>
      <c r="E451" s="283">
        <v>3645</v>
      </c>
      <c r="F451" s="222"/>
    </row>
    <row r="452" spans="4:6">
      <c r="D452" s="283">
        <v>2841</v>
      </c>
      <c r="E452" s="283">
        <v>3679</v>
      </c>
      <c r="F452" s="222"/>
    </row>
    <row r="453" spans="4:6">
      <c r="D453" s="283">
        <v>2901</v>
      </c>
      <c r="E453" s="283">
        <v>3686</v>
      </c>
      <c r="F453" s="222"/>
    </row>
    <row r="454" spans="4:6">
      <c r="D454" s="283">
        <v>2903</v>
      </c>
      <c r="E454" s="283">
        <v>3704</v>
      </c>
      <c r="F454" s="222"/>
    </row>
    <row r="455" spans="4:6">
      <c r="D455" s="283">
        <v>2904</v>
      </c>
      <c r="E455" s="283">
        <v>3706</v>
      </c>
      <c r="F455" s="222"/>
    </row>
    <row r="456" spans="4:6">
      <c r="D456" s="283">
        <v>2906</v>
      </c>
      <c r="E456" s="283">
        <v>4108</v>
      </c>
      <c r="F456" s="222"/>
    </row>
    <row r="457" spans="4:6">
      <c r="D457" s="283">
        <v>2908</v>
      </c>
      <c r="E457" s="283">
        <v>4119</v>
      </c>
      <c r="F457" s="222"/>
    </row>
    <row r="458" spans="4:6">
      <c r="D458" s="283">
        <v>2910</v>
      </c>
      <c r="E458" s="283">
        <v>4426</v>
      </c>
      <c r="F458" s="222"/>
    </row>
    <row r="459" spans="4:6">
      <c r="D459" s="283">
        <v>2911</v>
      </c>
      <c r="E459" s="283">
        <v>4532</v>
      </c>
      <c r="F459" s="222"/>
    </row>
    <row r="460" spans="4:6">
      <c r="D460" s="283">
        <v>2912</v>
      </c>
      <c r="E460" s="283">
        <v>4737</v>
      </c>
      <c r="F460" s="222"/>
    </row>
    <row r="461" spans="4:6">
      <c r="D461" s="283">
        <v>2913</v>
      </c>
      <c r="E461" s="283">
        <v>4746</v>
      </c>
      <c r="F461" s="222"/>
    </row>
    <row r="462" spans="4:6">
      <c r="D462" s="283">
        <v>2915</v>
      </c>
      <c r="E462" s="283">
        <v>4904</v>
      </c>
      <c r="F462" s="222"/>
    </row>
    <row r="463" spans="4:6">
      <c r="D463" s="283">
        <v>2923</v>
      </c>
      <c r="E463" s="283">
        <v>4912</v>
      </c>
      <c r="F463" s="222"/>
    </row>
    <row r="464" spans="4:6">
      <c r="D464" s="283">
        <v>2929</v>
      </c>
      <c r="E464" s="283">
        <v>4916</v>
      </c>
      <c r="F464" s="222"/>
    </row>
    <row r="465" spans="4:6">
      <c r="D465" s="283">
        <v>3002</v>
      </c>
      <c r="E465" s="283">
        <v>4927</v>
      </c>
      <c r="F465" s="222"/>
    </row>
    <row r="466" spans="4:6">
      <c r="D466" s="283">
        <v>3003</v>
      </c>
      <c r="E466" s="283">
        <v>4935</v>
      </c>
      <c r="F466" s="222"/>
    </row>
    <row r="467" spans="4:6">
      <c r="D467" s="283">
        <v>3004</v>
      </c>
      <c r="E467" s="283">
        <v>4952</v>
      </c>
      <c r="F467" s="222"/>
    </row>
    <row r="468" spans="4:6">
      <c r="D468" s="283">
        <v>3005</v>
      </c>
      <c r="E468" s="283">
        <v>4956</v>
      </c>
      <c r="F468" s="222"/>
    </row>
    <row r="469" spans="4:6">
      <c r="D469" s="283">
        <v>3006</v>
      </c>
      <c r="E469" s="283">
        <v>4958</v>
      </c>
      <c r="F469" s="222"/>
    </row>
    <row r="470" spans="4:6">
      <c r="D470" s="283">
        <v>3008</v>
      </c>
      <c r="E470" s="283">
        <v>5225</v>
      </c>
      <c r="F470" s="222"/>
    </row>
    <row r="471" spans="4:6">
      <c r="D471" s="283">
        <v>3010</v>
      </c>
      <c r="E471" s="283">
        <v>5234</v>
      </c>
      <c r="F471" s="222"/>
    </row>
    <row r="472" spans="4:6">
      <c r="D472" s="283">
        <v>3011</v>
      </c>
      <c r="E472" s="283">
        <v>5269</v>
      </c>
      <c r="F472" s="222"/>
    </row>
    <row r="473" spans="4:6">
      <c r="D473" s="283">
        <v>3013</v>
      </c>
      <c r="E473" s="222">
        <v>5469</v>
      </c>
      <c r="F473" s="222"/>
    </row>
    <row r="474" spans="4:6">
      <c r="D474" s="283">
        <v>3014</v>
      </c>
      <c r="E474" s="222">
        <v>5519</v>
      </c>
      <c r="F474" s="222"/>
    </row>
    <row r="475" spans="4:6">
      <c r="D475" s="283">
        <v>3015</v>
      </c>
      <c r="E475" s="222">
        <v>5525</v>
      </c>
      <c r="F475" s="222"/>
    </row>
    <row r="476" spans="4:6">
      <c r="D476" s="283">
        <v>3016</v>
      </c>
      <c r="E476" s="222">
        <v>5533</v>
      </c>
      <c r="F476" s="222"/>
    </row>
    <row r="477" spans="4:6">
      <c r="D477" s="283">
        <v>3017</v>
      </c>
      <c r="E477" s="222">
        <v>5607</v>
      </c>
      <c r="F477" s="222"/>
    </row>
    <row r="478" spans="4:6">
      <c r="D478" s="283">
        <v>3018</v>
      </c>
      <c r="E478" s="222">
        <v>5906</v>
      </c>
      <c r="F478" s="222"/>
    </row>
    <row r="479" spans="4:6">
      <c r="D479" s="283">
        <v>3019</v>
      </c>
      <c r="E479" s="222">
        <v>6112</v>
      </c>
      <c r="F479" s="222"/>
    </row>
    <row r="480" spans="4:6">
      <c r="D480" s="283">
        <v>3021</v>
      </c>
      <c r="E480" s="222">
        <v>6116</v>
      </c>
      <c r="F480" s="222"/>
    </row>
    <row r="481" spans="4:6">
      <c r="D481" s="283">
        <v>3022</v>
      </c>
      <c r="E481" s="222">
        <v>6136</v>
      </c>
      <c r="F481" s="222"/>
    </row>
    <row r="482" spans="4:6">
      <c r="D482" s="283">
        <v>3023</v>
      </c>
      <c r="E482" s="222">
        <v>6139</v>
      </c>
      <c r="F482" s="222"/>
    </row>
    <row r="483" spans="4:6">
      <c r="D483" s="283">
        <v>3024</v>
      </c>
      <c r="E483" s="222">
        <v>6172</v>
      </c>
      <c r="F483" s="222"/>
    </row>
    <row r="484" spans="4:6">
      <c r="D484" s="283">
        <v>3025</v>
      </c>
      <c r="E484" s="222">
        <v>6177</v>
      </c>
      <c r="F484" s="222"/>
    </row>
    <row r="485" spans="4:6">
      <c r="D485" s="283">
        <v>3026</v>
      </c>
      <c r="E485" s="222">
        <v>6191</v>
      </c>
      <c r="F485" s="222"/>
    </row>
    <row r="486" spans="4:6">
      <c r="D486" s="283">
        <v>3027</v>
      </c>
      <c r="E486" s="222">
        <v>6196</v>
      </c>
      <c r="F486" s="222"/>
    </row>
    <row r="487" spans="4:6">
      <c r="D487" s="283">
        <v>3028</v>
      </c>
      <c r="E487" s="222">
        <v>6201</v>
      </c>
      <c r="F487" s="222"/>
    </row>
    <row r="488" spans="4:6">
      <c r="D488" s="283">
        <v>3029</v>
      </c>
      <c r="E488" s="222">
        <v>6209</v>
      </c>
      <c r="F488" s="222"/>
    </row>
    <row r="489" spans="4:6">
      <c r="D489" s="283">
        <v>3030</v>
      </c>
      <c r="E489" s="222">
        <v>6214</v>
      </c>
      <c r="F489" s="222"/>
    </row>
    <row r="490" spans="4:6">
      <c r="D490" s="283">
        <v>3031</v>
      </c>
      <c r="E490" s="222">
        <v>6224</v>
      </c>
      <c r="F490" s="222"/>
    </row>
    <row r="491" spans="4:6">
      <c r="D491" s="283">
        <v>3032</v>
      </c>
      <c r="E491" s="222">
        <v>6226</v>
      </c>
      <c r="F491" s="222"/>
    </row>
    <row r="492" spans="4:6">
      <c r="D492" s="283">
        <v>3033</v>
      </c>
      <c r="E492" s="222">
        <v>6235</v>
      </c>
      <c r="F492" s="222"/>
    </row>
    <row r="493" spans="4:6">
      <c r="D493" s="283">
        <v>3034</v>
      </c>
      <c r="E493" s="222">
        <v>6239</v>
      </c>
      <c r="F493" s="222"/>
    </row>
    <row r="494" spans="4:6">
      <c r="D494" s="283">
        <v>3035</v>
      </c>
      <c r="E494" s="222">
        <v>6243</v>
      </c>
      <c r="F494" s="222"/>
    </row>
    <row r="495" spans="4:6">
      <c r="D495" s="283">
        <v>3036</v>
      </c>
      <c r="E495" s="222">
        <v>6269</v>
      </c>
      <c r="F495" s="222"/>
    </row>
    <row r="496" spans="4:6">
      <c r="D496" s="283">
        <v>3037</v>
      </c>
      <c r="E496" s="222">
        <v>6282</v>
      </c>
      <c r="F496" s="222"/>
    </row>
    <row r="497" spans="4:6">
      <c r="D497" s="283">
        <v>3038</v>
      </c>
      <c r="E497" s="222">
        <v>6285</v>
      </c>
      <c r="F497" s="222"/>
    </row>
    <row r="498" spans="4:6">
      <c r="D498" s="283">
        <v>3040</v>
      </c>
      <c r="E498" s="222">
        <v>6442</v>
      </c>
      <c r="F498" s="222"/>
    </row>
    <row r="499" spans="4:6">
      <c r="D499" s="283">
        <v>3041</v>
      </c>
      <c r="E499" s="222">
        <v>6452</v>
      </c>
      <c r="F499" s="222"/>
    </row>
    <row r="500" spans="4:6">
      <c r="D500" s="283">
        <v>3042</v>
      </c>
      <c r="E500" s="222">
        <v>8011</v>
      </c>
      <c r="F500" s="222"/>
    </row>
    <row r="501" spans="4:6">
      <c r="D501" s="283">
        <v>3043</v>
      </c>
      <c r="E501" s="222">
        <v>8021</v>
      </c>
      <c r="F501" s="222"/>
    </row>
    <row r="502" spans="4:6">
      <c r="D502" s="283">
        <v>3044</v>
      </c>
      <c r="E502" s="222">
        <v>8033</v>
      </c>
      <c r="F502" s="222"/>
    </row>
    <row r="503" spans="4:6">
      <c r="D503" s="283">
        <v>3045</v>
      </c>
      <c r="E503" s="222">
        <v>8070</v>
      </c>
      <c r="F503" s="222"/>
    </row>
    <row r="504" spans="4:6">
      <c r="D504" s="283">
        <v>3046</v>
      </c>
      <c r="E504" s="222">
        <v>8131</v>
      </c>
      <c r="F504" s="222"/>
    </row>
    <row r="505" spans="4:6">
      <c r="D505" s="283">
        <v>3047</v>
      </c>
      <c r="E505" s="222">
        <v>8213</v>
      </c>
      <c r="F505" s="222"/>
    </row>
    <row r="506" spans="4:6">
      <c r="D506" s="283">
        <v>3048</v>
      </c>
      <c r="E506" s="222">
        <v>8411</v>
      </c>
      <c r="F506" s="222"/>
    </row>
    <row r="507" spans="4:6">
      <c r="D507" s="283">
        <v>3049</v>
      </c>
      <c r="E507" s="222">
        <v>8463</v>
      </c>
      <c r="F507" s="222"/>
    </row>
    <row r="508" spans="4:6">
      <c r="D508" s="283">
        <v>3050</v>
      </c>
      <c r="E508" s="222">
        <v>8926</v>
      </c>
      <c r="F508" s="222"/>
    </row>
    <row r="509" spans="4:6">
      <c r="D509" s="283">
        <v>3051</v>
      </c>
      <c r="E509" s="222">
        <v>8996</v>
      </c>
      <c r="F509" s="222"/>
    </row>
    <row r="510" spans="4:6">
      <c r="D510" s="283">
        <v>3052</v>
      </c>
      <c r="E510" s="222">
        <v>9918</v>
      </c>
      <c r="F510" s="222"/>
    </row>
    <row r="511" spans="4:6">
      <c r="D511" s="283">
        <v>3054</v>
      </c>
      <c r="E511" s="222">
        <v>9927</v>
      </c>
      <c r="F511" s="222"/>
    </row>
    <row r="512" spans="4:6">
      <c r="D512" s="283">
        <v>3055</v>
      </c>
      <c r="E512" s="222">
        <v>9930</v>
      </c>
      <c r="F512" s="222"/>
    </row>
    <row r="513" spans="4:6">
      <c r="D513" s="283">
        <v>3056</v>
      </c>
      <c r="E513" s="222">
        <v>9943</v>
      </c>
      <c r="F513" s="222"/>
    </row>
    <row r="514" spans="4:6">
      <c r="D514" s="283">
        <v>3057</v>
      </c>
      <c r="E514" s="222">
        <v>9955</v>
      </c>
      <c r="F514" s="222"/>
    </row>
    <row r="515" spans="4:6">
      <c r="D515" s="283">
        <v>3058</v>
      </c>
      <c r="E515" s="222">
        <v>1256</v>
      </c>
      <c r="F515" s="222"/>
    </row>
    <row r="516" spans="4:6">
      <c r="D516" s="283">
        <v>3059</v>
      </c>
      <c r="E516" s="222">
        <v>1566</v>
      </c>
      <c r="F516" s="222"/>
    </row>
    <row r="517" spans="4:6">
      <c r="D517" s="283">
        <v>3060</v>
      </c>
      <c r="E517" s="222">
        <v>1580</v>
      </c>
      <c r="F517" s="222"/>
    </row>
    <row r="518" spans="4:6">
      <c r="D518" s="283">
        <v>3062</v>
      </c>
      <c r="E518" s="222">
        <v>1584</v>
      </c>
      <c r="F518" s="222"/>
    </row>
    <row r="519" spans="4:6">
      <c r="D519" s="283">
        <v>3090</v>
      </c>
      <c r="E519" s="283">
        <v>1591</v>
      </c>
      <c r="F519" s="222"/>
    </row>
    <row r="520" spans="4:6">
      <c r="D520" s="283">
        <v>3094</v>
      </c>
      <c r="E520" s="283">
        <v>1593</v>
      </c>
      <c r="F520" s="222"/>
    </row>
    <row r="521" spans="4:6">
      <c r="D521" s="283">
        <v>3130</v>
      </c>
      <c r="E521" s="283">
        <v>1599</v>
      </c>
      <c r="F521" s="222"/>
    </row>
    <row r="522" spans="4:6">
      <c r="D522" s="283">
        <v>3149</v>
      </c>
      <c r="E522" s="283">
        <v>1752</v>
      </c>
      <c r="F522" s="222"/>
    </row>
    <row r="523" spans="4:6">
      <c r="D523" s="283">
        <v>3164</v>
      </c>
      <c r="E523" s="283">
        <v>1781</v>
      </c>
      <c r="F523" s="222"/>
    </row>
    <row r="524" spans="4:6">
      <c r="D524" s="283">
        <v>3167</v>
      </c>
      <c r="E524" s="283">
        <v>1813</v>
      </c>
      <c r="F524" s="222"/>
    </row>
    <row r="525" spans="4:6">
      <c r="D525" s="283">
        <v>3189</v>
      </c>
      <c r="E525" s="283">
        <v>2035</v>
      </c>
      <c r="F525" s="222"/>
    </row>
    <row r="526" spans="4:6">
      <c r="D526" s="283">
        <v>3209</v>
      </c>
      <c r="E526" s="283">
        <v>2061</v>
      </c>
      <c r="F526" s="222"/>
    </row>
    <row r="527" spans="4:6">
      <c r="D527" s="283">
        <v>3229</v>
      </c>
      <c r="E527" s="283">
        <v>2066</v>
      </c>
      <c r="F527" s="222"/>
    </row>
    <row r="528" spans="4:6">
      <c r="D528" s="283">
        <v>3231</v>
      </c>
      <c r="E528" s="283">
        <v>2235</v>
      </c>
      <c r="F528" s="222"/>
    </row>
    <row r="529" spans="4:6">
      <c r="D529" s="283">
        <v>3257</v>
      </c>
      <c r="E529" s="283">
        <v>2719</v>
      </c>
      <c r="F529" s="222"/>
    </row>
    <row r="530" spans="4:6">
      <c r="D530" s="283">
        <v>3266</v>
      </c>
      <c r="E530" s="283">
        <v>2726</v>
      </c>
      <c r="F530" s="222"/>
    </row>
    <row r="531" spans="4:6">
      <c r="D531" s="283">
        <v>3296</v>
      </c>
      <c r="E531" s="283">
        <v>2732</v>
      </c>
      <c r="F531" s="222"/>
    </row>
    <row r="532" spans="4:6">
      <c r="D532" s="283">
        <v>3305</v>
      </c>
      <c r="E532" s="283">
        <v>3071</v>
      </c>
      <c r="F532" s="222"/>
    </row>
    <row r="533" spans="4:6">
      <c r="D533" s="283">
        <v>3308</v>
      </c>
      <c r="E533" s="283">
        <v>3073</v>
      </c>
      <c r="F533" s="222"/>
    </row>
    <row r="534" spans="4:6">
      <c r="D534" s="283">
        <v>3311</v>
      </c>
      <c r="E534" s="283">
        <v>3083</v>
      </c>
      <c r="F534" s="222"/>
    </row>
    <row r="535" spans="4:6">
      <c r="D535" s="283">
        <v>3312</v>
      </c>
      <c r="E535" s="283">
        <v>3095</v>
      </c>
      <c r="F535" s="222"/>
    </row>
    <row r="536" spans="4:6">
      <c r="D536" s="283">
        <v>3315</v>
      </c>
      <c r="E536" s="283">
        <v>3105</v>
      </c>
      <c r="F536" s="222"/>
    </row>
    <row r="537" spans="4:6">
      <c r="D537" s="283">
        <v>3338</v>
      </c>
      <c r="E537" s="283">
        <v>3118</v>
      </c>
      <c r="F537" s="222"/>
    </row>
    <row r="538" spans="4:6">
      <c r="D538" s="283">
        <v>3356</v>
      </c>
      <c r="E538" s="283">
        <v>3144</v>
      </c>
      <c r="F538" s="222"/>
    </row>
    <row r="539" spans="4:6">
      <c r="D539" s="283">
        <v>3376</v>
      </c>
      <c r="E539" s="283">
        <v>3152</v>
      </c>
      <c r="F539" s="222"/>
    </row>
    <row r="540" spans="4:6">
      <c r="D540" s="283">
        <v>3380</v>
      </c>
      <c r="E540" s="283">
        <v>3162</v>
      </c>
      <c r="F540" s="222"/>
    </row>
    <row r="541" spans="4:6">
      <c r="D541" s="283">
        <v>3383</v>
      </c>
      <c r="E541" s="283">
        <v>3169</v>
      </c>
      <c r="F541" s="222"/>
    </row>
    <row r="542" spans="4:6">
      <c r="D542" s="283">
        <v>3406</v>
      </c>
      <c r="E542" s="283">
        <v>3202</v>
      </c>
      <c r="F542" s="222"/>
    </row>
    <row r="543" spans="4:6">
      <c r="D543" s="283">
        <v>3413</v>
      </c>
      <c r="E543" s="283">
        <v>3206</v>
      </c>
      <c r="F543" s="222"/>
    </row>
    <row r="544" spans="4:6">
      <c r="D544" s="283">
        <v>3416</v>
      </c>
      <c r="E544" s="283">
        <v>3207</v>
      </c>
      <c r="F544" s="222"/>
    </row>
    <row r="545" spans="4:6">
      <c r="D545" s="283">
        <v>3419</v>
      </c>
      <c r="E545" s="283">
        <v>3213</v>
      </c>
      <c r="F545" s="222"/>
    </row>
    <row r="546" spans="4:6">
      <c r="D546" s="283">
        <v>3432</v>
      </c>
      <c r="E546" s="283">
        <v>3221</v>
      </c>
      <c r="F546" s="222"/>
    </row>
    <row r="547" spans="4:6">
      <c r="D547" s="283">
        <v>3437</v>
      </c>
      <c r="E547" s="283">
        <v>3230</v>
      </c>
      <c r="F547" s="222"/>
    </row>
    <row r="548" spans="4:6">
      <c r="D548" s="283">
        <v>3443</v>
      </c>
      <c r="E548" s="283">
        <v>3232</v>
      </c>
      <c r="F548" s="222"/>
    </row>
    <row r="549" spans="4:6">
      <c r="D549" s="283">
        <v>3450</v>
      </c>
      <c r="E549" s="283">
        <v>3260</v>
      </c>
      <c r="F549" s="222"/>
    </row>
    <row r="550" spans="4:6">
      <c r="D550" s="283">
        <v>3454</v>
      </c>
      <c r="E550" s="283">
        <v>3276</v>
      </c>
      <c r="F550" s="222"/>
    </row>
    <row r="551" spans="4:6">
      <c r="D551" s="283">
        <v>3474</v>
      </c>
      <c r="E551" s="283">
        <v>3284</v>
      </c>
      <c r="F551" s="222"/>
    </row>
    <row r="552" spans="4:6">
      <c r="D552" s="283">
        <v>3481</v>
      </c>
      <c r="E552" s="283">
        <v>3285</v>
      </c>
      <c r="F552" s="222"/>
    </row>
    <row r="553" spans="4:6">
      <c r="D553" s="283">
        <v>3494</v>
      </c>
      <c r="E553" s="283">
        <v>3291</v>
      </c>
      <c r="F553" s="222"/>
    </row>
    <row r="554" spans="4:6">
      <c r="D554" s="283">
        <v>3501</v>
      </c>
      <c r="E554" s="283">
        <v>3293</v>
      </c>
      <c r="F554" s="222"/>
    </row>
    <row r="555" spans="4:6">
      <c r="D555" s="283">
        <v>3504</v>
      </c>
      <c r="E555" s="283">
        <v>3297</v>
      </c>
      <c r="F555" s="222"/>
    </row>
    <row r="556" spans="4:6">
      <c r="D556" s="283">
        <v>3514</v>
      </c>
      <c r="E556" s="283">
        <v>3303</v>
      </c>
      <c r="F556" s="222"/>
    </row>
    <row r="557" spans="4:6">
      <c r="D557" s="283">
        <v>3515</v>
      </c>
      <c r="E557" s="283">
        <v>3306</v>
      </c>
      <c r="F557" s="222"/>
    </row>
    <row r="558" spans="4:6">
      <c r="D558" s="283">
        <v>3518</v>
      </c>
      <c r="E558" s="283">
        <v>3317</v>
      </c>
      <c r="F558" s="222"/>
    </row>
    <row r="559" spans="4:6">
      <c r="D559" s="283">
        <v>3519</v>
      </c>
      <c r="E559" s="283">
        <v>3339</v>
      </c>
      <c r="F559" s="222"/>
    </row>
    <row r="560" spans="4:6">
      <c r="D560" s="283">
        <v>3532</v>
      </c>
      <c r="E560" s="283">
        <v>3360</v>
      </c>
      <c r="F560" s="222"/>
    </row>
    <row r="561" spans="4:6">
      <c r="D561" s="283">
        <v>3533</v>
      </c>
      <c r="E561" s="283">
        <v>3373</v>
      </c>
      <c r="F561" s="222"/>
    </row>
    <row r="562" spans="4:6">
      <c r="D562" s="283">
        <v>3535</v>
      </c>
      <c r="E562" s="283">
        <v>3428</v>
      </c>
      <c r="F562" s="222"/>
    </row>
    <row r="563" spans="4:6">
      <c r="D563" s="283">
        <v>3536</v>
      </c>
      <c r="E563" s="283">
        <v>3438</v>
      </c>
      <c r="F563" s="222"/>
    </row>
    <row r="564" spans="4:6">
      <c r="D564" s="283">
        <v>3545</v>
      </c>
      <c r="E564" s="283">
        <v>3441</v>
      </c>
      <c r="F564" s="222"/>
    </row>
    <row r="565" spans="4:6">
      <c r="D565" s="283">
        <v>3550</v>
      </c>
      <c r="E565" s="283">
        <v>3444</v>
      </c>
      <c r="F565" s="222"/>
    </row>
    <row r="566" spans="4:6">
      <c r="D566" s="283">
        <v>3557</v>
      </c>
      <c r="E566" s="283">
        <v>3455</v>
      </c>
      <c r="F566" s="222"/>
    </row>
    <row r="567" spans="4:6">
      <c r="D567" s="283">
        <v>3559</v>
      </c>
      <c r="E567" s="283">
        <v>3483</v>
      </c>
      <c r="F567" s="222"/>
    </row>
    <row r="568" spans="4:6">
      <c r="D568" s="283">
        <v>3561</v>
      </c>
      <c r="E568" s="283">
        <v>3489</v>
      </c>
      <c r="F568" s="222"/>
    </row>
    <row r="569" spans="4:6">
      <c r="D569" s="283">
        <v>3573</v>
      </c>
      <c r="E569" s="283">
        <v>3521</v>
      </c>
      <c r="F569" s="222"/>
    </row>
    <row r="570" spans="4:6">
      <c r="D570" s="283">
        <v>3576</v>
      </c>
      <c r="E570" s="283">
        <v>3527</v>
      </c>
      <c r="F570" s="222"/>
    </row>
    <row r="571" spans="4:6">
      <c r="D571" s="283">
        <v>3579</v>
      </c>
      <c r="E571" s="283">
        <v>3528</v>
      </c>
      <c r="F571" s="222"/>
    </row>
    <row r="572" spans="4:6">
      <c r="D572" s="283">
        <v>3583</v>
      </c>
      <c r="E572" s="283">
        <v>3531</v>
      </c>
      <c r="F572" s="222"/>
    </row>
    <row r="573" spans="4:6">
      <c r="D573" s="283">
        <v>3584</v>
      </c>
      <c r="E573" s="283">
        <v>3546</v>
      </c>
      <c r="F573" s="222"/>
    </row>
    <row r="574" spans="4:6">
      <c r="D574" s="283">
        <v>3588</v>
      </c>
      <c r="E574" s="283">
        <v>3548</v>
      </c>
      <c r="F574" s="222"/>
    </row>
    <row r="575" spans="4:6">
      <c r="D575" s="283">
        <v>3591</v>
      </c>
      <c r="E575" s="283">
        <v>3551</v>
      </c>
      <c r="F575" s="222"/>
    </row>
    <row r="576" spans="4:6">
      <c r="D576" s="283">
        <v>3593</v>
      </c>
      <c r="E576" s="283">
        <v>3562</v>
      </c>
      <c r="F576" s="222"/>
    </row>
    <row r="577" spans="4:6">
      <c r="D577" s="283">
        <v>3596</v>
      </c>
      <c r="E577" s="283">
        <v>3567</v>
      </c>
      <c r="F577" s="222"/>
    </row>
    <row r="578" spans="4:6">
      <c r="D578" s="283">
        <v>3598</v>
      </c>
      <c r="E578" s="283">
        <v>3581</v>
      </c>
      <c r="F578" s="222"/>
    </row>
    <row r="579" spans="4:6">
      <c r="D579" s="283">
        <v>3605</v>
      </c>
      <c r="E579" s="283">
        <v>3609</v>
      </c>
      <c r="F579" s="222"/>
    </row>
    <row r="580" spans="4:6">
      <c r="D580" s="283">
        <v>3607</v>
      </c>
      <c r="E580" s="283">
        <v>3615</v>
      </c>
      <c r="F580" s="222"/>
    </row>
    <row r="581" spans="4:6">
      <c r="D581" s="283">
        <v>3617</v>
      </c>
      <c r="E581" s="283">
        <v>3628</v>
      </c>
      <c r="F581" s="222"/>
    </row>
    <row r="582" spans="4:6">
      <c r="D582" s="283">
        <v>3622</v>
      </c>
      <c r="E582" s="283">
        <v>3632</v>
      </c>
      <c r="F582" s="222"/>
    </row>
    <row r="583" spans="4:6">
      <c r="D583" s="283">
        <v>3645</v>
      </c>
      <c r="E583" s="283">
        <v>3666</v>
      </c>
      <c r="F583" s="222"/>
    </row>
    <row r="584" spans="4:6">
      <c r="D584" s="283">
        <v>3653</v>
      </c>
      <c r="E584" s="283">
        <v>3672</v>
      </c>
      <c r="F584" s="222"/>
    </row>
    <row r="585" spans="4:6">
      <c r="D585" s="283">
        <v>3661</v>
      </c>
      <c r="E585" s="283">
        <v>3691</v>
      </c>
      <c r="F585" s="222"/>
    </row>
    <row r="586" spans="4:6">
      <c r="D586" s="283">
        <v>3665</v>
      </c>
      <c r="E586" s="283">
        <v>4102</v>
      </c>
      <c r="F586" s="222"/>
    </row>
    <row r="587" spans="4:6">
      <c r="D587" s="283">
        <v>3669</v>
      </c>
      <c r="E587" s="283">
        <v>4121</v>
      </c>
      <c r="F587" s="222"/>
    </row>
    <row r="588" spans="4:6">
      <c r="D588" s="283">
        <v>3673</v>
      </c>
      <c r="E588" s="283">
        <v>4129</v>
      </c>
      <c r="F588" s="222"/>
    </row>
    <row r="589" spans="4:6">
      <c r="D589" s="283">
        <v>3679</v>
      </c>
      <c r="E589" s="283">
        <v>4131</v>
      </c>
      <c r="F589" s="222"/>
    </row>
    <row r="590" spans="4:6">
      <c r="D590" s="283">
        <v>3682</v>
      </c>
      <c r="E590" s="283">
        <v>4163</v>
      </c>
      <c r="F590" s="222"/>
    </row>
    <row r="591" spans="4:6">
      <c r="D591" s="283">
        <v>3686</v>
      </c>
      <c r="E591" s="283">
        <v>4171</v>
      </c>
      <c r="F591" s="222"/>
    </row>
    <row r="592" spans="4:6">
      <c r="D592" s="283">
        <v>3694</v>
      </c>
      <c r="E592" s="283">
        <v>4173</v>
      </c>
      <c r="F592" s="222"/>
    </row>
    <row r="593" spans="4:6">
      <c r="D593" s="283">
        <v>3698</v>
      </c>
      <c r="E593" s="283">
        <v>4175</v>
      </c>
      <c r="F593" s="222"/>
    </row>
    <row r="594" spans="4:6">
      <c r="D594" s="283">
        <v>3701</v>
      </c>
      <c r="E594" s="283">
        <v>4401</v>
      </c>
      <c r="F594" s="222"/>
    </row>
    <row r="595" spans="4:6">
      <c r="D595" s="283">
        <v>3702</v>
      </c>
      <c r="E595" s="283">
        <v>4406</v>
      </c>
      <c r="F595" s="222"/>
    </row>
    <row r="596" spans="4:6">
      <c r="D596" s="283">
        <v>3703</v>
      </c>
      <c r="E596" s="283">
        <v>4417</v>
      </c>
      <c r="F596" s="222"/>
    </row>
    <row r="597" spans="4:6">
      <c r="D597" s="283">
        <v>3704</v>
      </c>
      <c r="E597" s="283">
        <v>4430</v>
      </c>
      <c r="F597" s="222"/>
    </row>
    <row r="598" spans="4:6">
      <c r="D598" s="283">
        <v>3705</v>
      </c>
      <c r="E598" s="283">
        <v>4527</v>
      </c>
      <c r="F598" s="222"/>
    </row>
    <row r="599" spans="4:6">
      <c r="D599" s="283">
        <v>3706</v>
      </c>
      <c r="E599" s="283">
        <v>4541</v>
      </c>
      <c r="F599" s="222"/>
    </row>
    <row r="600" spans="4:6">
      <c r="D600" s="283">
        <v>4104</v>
      </c>
      <c r="E600" s="283">
        <v>4549</v>
      </c>
      <c r="F600" s="222"/>
    </row>
    <row r="601" spans="4:6">
      <c r="D601" s="283">
        <v>4106</v>
      </c>
      <c r="E601" s="283">
        <v>4550</v>
      </c>
      <c r="F601" s="222"/>
    </row>
    <row r="602" spans="4:6">
      <c r="D602" s="283">
        <v>4108</v>
      </c>
      <c r="E602" s="283">
        <v>4702</v>
      </c>
      <c r="F602" s="222"/>
    </row>
    <row r="603" spans="4:6">
      <c r="D603" s="283">
        <v>4119</v>
      </c>
      <c r="E603" s="283">
        <v>4711</v>
      </c>
      <c r="F603" s="222"/>
    </row>
    <row r="604" spans="4:6">
      <c r="D604" s="283">
        <v>4133</v>
      </c>
      <c r="E604" s="283">
        <v>4726</v>
      </c>
      <c r="F604" s="222"/>
    </row>
    <row r="605" spans="4:6">
      <c r="D605" s="283">
        <v>4137</v>
      </c>
      <c r="E605" s="283">
        <v>4933</v>
      </c>
      <c r="F605" s="222"/>
    </row>
    <row r="606" spans="4:6">
      <c r="D606" s="283">
        <v>4141</v>
      </c>
      <c r="E606" s="283">
        <v>4971</v>
      </c>
      <c r="F606" s="222"/>
    </row>
    <row r="607" spans="4:6">
      <c r="D607" s="283">
        <v>4142</v>
      </c>
      <c r="E607" s="283">
        <v>4979</v>
      </c>
      <c r="F607" s="222"/>
    </row>
    <row r="608" spans="4:6">
      <c r="D608" s="283">
        <v>4144</v>
      </c>
      <c r="E608" s="283">
        <v>4987</v>
      </c>
      <c r="F608" s="222"/>
    </row>
    <row r="609" spans="4:6">
      <c r="D609" s="283">
        <v>4164</v>
      </c>
      <c r="E609" s="283">
        <v>4995</v>
      </c>
      <c r="F609" s="222"/>
    </row>
    <row r="610" spans="4:6">
      <c r="D610" s="283">
        <v>4190</v>
      </c>
      <c r="E610" s="283">
        <v>5009</v>
      </c>
      <c r="F610" s="222"/>
    </row>
    <row r="611" spans="4:6">
      <c r="D611" s="283">
        <v>4306</v>
      </c>
      <c r="E611" s="283">
        <v>5011</v>
      </c>
      <c r="F611" s="222"/>
    </row>
    <row r="612" spans="4:6">
      <c r="D612" s="283">
        <v>4414</v>
      </c>
      <c r="E612" s="283">
        <v>5016</v>
      </c>
      <c r="F612" s="222"/>
    </row>
    <row r="613" spans="4:6">
      <c r="D613" s="283">
        <v>4426</v>
      </c>
      <c r="E613" s="283">
        <v>5211</v>
      </c>
      <c r="F613" s="222"/>
    </row>
    <row r="614" spans="4:6">
      <c r="D614" s="283">
        <v>4526</v>
      </c>
      <c r="E614" s="283">
        <v>5212</v>
      </c>
      <c r="F614" s="222"/>
    </row>
    <row r="615" spans="4:6">
      <c r="D615" s="283">
        <v>4532</v>
      </c>
      <c r="E615" s="283">
        <v>5245</v>
      </c>
      <c r="F615" s="222"/>
    </row>
    <row r="616" spans="4:6">
      <c r="D616" s="283">
        <v>4536</v>
      </c>
      <c r="E616" s="283">
        <v>5255</v>
      </c>
      <c r="F616" s="222"/>
    </row>
    <row r="617" spans="4:6">
      <c r="D617" s="283">
        <v>4551</v>
      </c>
      <c r="E617" s="283">
        <v>5276</v>
      </c>
      <c r="F617" s="222"/>
    </row>
    <row r="618" spans="4:6">
      <c r="D618" s="283">
        <v>4555</v>
      </c>
      <c r="E618" s="283">
        <v>5289</v>
      </c>
      <c r="F618" s="222"/>
    </row>
    <row r="619" spans="4:6">
      <c r="D619" s="283">
        <v>4557</v>
      </c>
      <c r="E619" s="283">
        <v>5291</v>
      </c>
      <c r="F619" s="222"/>
    </row>
    <row r="620" spans="4:6">
      <c r="D620" s="283">
        <v>4720</v>
      </c>
      <c r="E620" s="283">
        <v>5310</v>
      </c>
      <c r="F620" s="222"/>
    </row>
    <row r="621" spans="4:6">
      <c r="D621" s="283">
        <v>4722</v>
      </c>
      <c r="E621" s="283">
        <v>5314</v>
      </c>
      <c r="F621" s="222"/>
    </row>
    <row r="622" spans="4:6">
      <c r="D622" s="283">
        <v>4725</v>
      </c>
      <c r="E622" s="283">
        <v>5317</v>
      </c>
      <c r="F622" s="222"/>
    </row>
    <row r="623" spans="4:6">
      <c r="D623" s="283">
        <v>4733</v>
      </c>
      <c r="E623" s="283">
        <v>5349</v>
      </c>
      <c r="F623" s="222"/>
    </row>
    <row r="624" spans="4:6">
      <c r="D624" s="283">
        <v>4737</v>
      </c>
      <c r="E624" s="283">
        <v>5355</v>
      </c>
      <c r="F624" s="222"/>
    </row>
    <row r="625" spans="4:6">
      <c r="D625" s="283">
        <v>4746</v>
      </c>
      <c r="E625" s="283">
        <v>5356</v>
      </c>
      <c r="F625" s="222"/>
    </row>
    <row r="626" spans="4:6">
      <c r="D626" s="283">
        <v>4755</v>
      </c>
      <c r="E626" s="283">
        <v>5403</v>
      </c>
      <c r="F626" s="222"/>
    </row>
    <row r="627" spans="4:6">
      <c r="D627" s="283">
        <v>4904</v>
      </c>
      <c r="E627" s="283">
        <v>5410</v>
      </c>
      <c r="F627" s="222"/>
    </row>
    <row r="628" spans="4:6">
      <c r="D628" s="283">
        <v>4906</v>
      </c>
      <c r="E628" s="283">
        <v>5425</v>
      </c>
      <c r="F628" s="222"/>
    </row>
    <row r="629" spans="4:6">
      <c r="D629" s="283">
        <v>4912</v>
      </c>
      <c r="E629" s="283">
        <v>5426</v>
      </c>
      <c r="F629" s="222"/>
    </row>
    <row r="630" spans="4:6">
      <c r="D630" s="283">
        <v>4915</v>
      </c>
      <c r="E630" s="283">
        <v>5439</v>
      </c>
      <c r="F630" s="222"/>
    </row>
    <row r="631" spans="4:6">
      <c r="D631" s="283">
        <v>4916</v>
      </c>
      <c r="E631" s="283">
        <v>5443</v>
      </c>
      <c r="F631" s="222"/>
    </row>
    <row r="632" spans="4:6">
      <c r="D632" s="283">
        <v>4919</v>
      </c>
      <c r="E632" s="283">
        <v>5457</v>
      </c>
      <c r="F632" s="222"/>
    </row>
    <row r="633" spans="4:6">
      <c r="D633" s="283">
        <v>4927</v>
      </c>
      <c r="E633" s="283">
        <v>5465</v>
      </c>
      <c r="F633" s="222"/>
    </row>
    <row r="634" spans="4:6">
      <c r="D634" s="283">
        <v>4930</v>
      </c>
      <c r="E634" s="283">
        <v>5474</v>
      </c>
      <c r="F634" s="222"/>
    </row>
    <row r="635" spans="4:6">
      <c r="D635" s="283">
        <v>4934</v>
      </c>
      <c r="E635" s="283">
        <v>5478</v>
      </c>
      <c r="F635" s="222"/>
    </row>
    <row r="636" spans="4:6">
      <c r="D636" s="283">
        <v>4935</v>
      </c>
      <c r="E636" s="283">
        <v>5480</v>
      </c>
      <c r="F636" s="222"/>
    </row>
    <row r="637" spans="4:6">
      <c r="D637" s="283">
        <v>4938</v>
      </c>
      <c r="E637" s="283">
        <v>5483</v>
      </c>
      <c r="F637" s="222"/>
    </row>
    <row r="638" spans="4:6">
      <c r="D638" s="283">
        <v>4942</v>
      </c>
      <c r="E638" s="283">
        <v>5487</v>
      </c>
      <c r="F638" s="222"/>
    </row>
    <row r="639" spans="4:6">
      <c r="D639" s="283">
        <v>4952</v>
      </c>
      <c r="E639" s="283">
        <v>5536</v>
      </c>
      <c r="F639" s="222"/>
    </row>
    <row r="640" spans="4:6">
      <c r="D640" s="283">
        <v>4956</v>
      </c>
      <c r="E640" s="283">
        <v>5601</v>
      </c>
      <c r="F640" s="222"/>
    </row>
    <row r="641" spans="4:6">
      <c r="D641" s="283">
        <v>4958</v>
      </c>
      <c r="E641" s="283">
        <v>5603</v>
      </c>
      <c r="F641" s="222"/>
    </row>
    <row r="642" spans="4:6">
      <c r="D642" s="283">
        <v>4960</v>
      </c>
      <c r="E642" s="283">
        <v>5609</v>
      </c>
      <c r="F642" s="222"/>
    </row>
    <row r="643" spans="4:6">
      <c r="D643" s="283">
        <v>4976</v>
      </c>
      <c r="E643" s="283">
        <v>5701</v>
      </c>
      <c r="F643" s="222"/>
    </row>
    <row r="644" spans="4:6">
      <c r="D644" s="283">
        <v>4977</v>
      </c>
      <c r="E644" s="283">
        <v>5703</v>
      </c>
      <c r="F644" s="222"/>
    </row>
    <row r="645" spans="4:6">
      <c r="D645" s="283">
        <v>4984</v>
      </c>
      <c r="E645" s="283">
        <v>5704</v>
      </c>
      <c r="F645" s="222"/>
    </row>
    <row r="646" spans="4:6">
      <c r="D646" s="283">
        <v>4994</v>
      </c>
      <c r="E646" s="283">
        <v>5903</v>
      </c>
      <c r="F646" s="222"/>
    </row>
    <row r="647" spans="4:6">
      <c r="D647" s="283">
        <v>4999</v>
      </c>
      <c r="E647" s="283">
        <v>6103</v>
      </c>
      <c r="F647" s="222"/>
    </row>
    <row r="648" spans="4:6">
      <c r="D648" s="283">
        <v>5007</v>
      </c>
      <c r="E648" s="283">
        <v>6109</v>
      </c>
      <c r="F648" s="222"/>
    </row>
    <row r="649" spans="4:6">
      <c r="D649" s="283">
        <v>5203</v>
      </c>
      <c r="E649" s="283">
        <v>6111</v>
      </c>
      <c r="F649" s="222"/>
    </row>
    <row r="650" spans="4:6">
      <c r="D650" s="283">
        <v>5215</v>
      </c>
      <c r="E650" s="283">
        <v>6113</v>
      </c>
      <c r="F650" s="222"/>
    </row>
    <row r="651" spans="4:6">
      <c r="D651" s="283">
        <v>5225</v>
      </c>
      <c r="E651" s="283">
        <v>6114</v>
      </c>
      <c r="F651" s="222"/>
    </row>
    <row r="652" spans="4:6">
      <c r="D652" s="283">
        <v>5234</v>
      </c>
      <c r="E652" s="283">
        <v>6121</v>
      </c>
      <c r="F652" s="222"/>
    </row>
    <row r="653" spans="4:6">
      <c r="D653" s="283">
        <v>5243</v>
      </c>
      <c r="E653" s="283">
        <v>6126</v>
      </c>
      <c r="F653" s="222"/>
    </row>
    <row r="654" spans="4:6">
      <c r="D654" s="283">
        <v>5259</v>
      </c>
      <c r="E654" s="283">
        <v>6130</v>
      </c>
      <c r="F654" s="222"/>
    </row>
    <row r="655" spans="4:6">
      <c r="D655" s="283">
        <v>5264</v>
      </c>
      <c r="E655" s="283">
        <v>6146</v>
      </c>
      <c r="F655" s="222"/>
    </row>
    <row r="656" spans="4:6">
      <c r="D656" s="283">
        <v>5269</v>
      </c>
      <c r="E656" s="283">
        <v>6154</v>
      </c>
      <c r="F656" s="222"/>
    </row>
    <row r="657" spans="4:6">
      <c r="D657" s="283">
        <v>5285</v>
      </c>
      <c r="E657" s="283">
        <v>6160</v>
      </c>
      <c r="F657" s="222"/>
    </row>
    <row r="658" spans="4:6">
      <c r="D658" s="283">
        <v>5288</v>
      </c>
      <c r="E658" s="283">
        <v>6161</v>
      </c>
      <c r="F658" s="222"/>
    </row>
    <row r="659" spans="4:6">
      <c r="D659" s="283">
        <v>5305</v>
      </c>
      <c r="E659" s="283">
        <v>6174</v>
      </c>
      <c r="F659" s="222"/>
    </row>
    <row r="660" spans="4:6">
      <c r="D660" s="283">
        <v>5388</v>
      </c>
      <c r="E660" s="283">
        <v>6175</v>
      </c>
      <c r="F660" s="222"/>
    </row>
    <row r="661" spans="4:6">
      <c r="D661" s="283">
        <v>5434</v>
      </c>
      <c r="E661" s="283">
        <v>6180</v>
      </c>
      <c r="F661" s="222"/>
    </row>
    <row r="662" spans="4:6">
      <c r="D662" s="283">
        <v>5469</v>
      </c>
      <c r="E662" s="283">
        <v>6186</v>
      </c>
      <c r="F662" s="222"/>
    </row>
    <row r="663" spans="4:6">
      <c r="D663" s="283">
        <v>5471</v>
      </c>
      <c r="E663" s="283">
        <v>6204</v>
      </c>
      <c r="F663" s="222"/>
    </row>
    <row r="664" spans="4:6">
      <c r="D664" s="283">
        <v>5484</v>
      </c>
      <c r="E664" s="283">
        <v>6208</v>
      </c>
      <c r="F664" s="222"/>
    </row>
    <row r="665" spans="4:6">
      <c r="D665" s="283">
        <v>5515</v>
      </c>
      <c r="E665" s="283">
        <v>6220</v>
      </c>
      <c r="F665" s="222"/>
    </row>
    <row r="666" spans="4:6">
      <c r="D666" s="283">
        <v>5519</v>
      </c>
      <c r="E666" s="283">
        <v>6223</v>
      </c>
      <c r="F666" s="222"/>
    </row>
    <row r="667" spans="4:6">
      <c r="D667" s="283">
        <v>5521</v>
      </c>
      <c r="E667" s="283">
        <v>6233</v>
      </c>
      <c r="F667" s="222"/>
    </row>
    <row r="668" spans="4:6">
      <c r="D668" s="283">
        <v>5522</v>
      </c>
      <c r="E668" s="283">
        <v>6237</v>
      </c>
      <c r="F668" s="222"/>
    </row>
    <row r="669" spans="4:6">
      <c r="D669" s="283">
        <v>5525</v>
      </c>
      <c r="E669" s="283">
        <v>6242</v>
      </c>
      <c r="F669" s="222"/>
    </row>
    <row r="670" spans="4:6">
      <c r="D670" s="283">
        <v>5531</v>
      </c>
      <c r="E670" s="283">
        <v>6279</v>
      </c>
      <c r="F670" s="222"/>
    </row>
    <row r="671" spans="4:6">
      <c r="D671" s="283">
        <v>5533</v>
      </c>
      <c r="E671" s="283">
        <v>6292</v>
      </c>
      <c r="F671" s="222"/>
    </row>
    <row r="672" spans="4:6">
      <c r="D672" s="283">
        <v>5534</v>
      </c>
      <c r="E672" s="283">
        <v>6294</v>
      </c>
      <c r="F672" s="222"/>
    </row>
    <row r="673" spans="4:6">
      <c r="D673" s="283">
        <v>5538</v>
      </c>
      <c r="E673" s="283">
        <v>6426</v>
      </c>
      <c r="F673" s="222"/>
    </row>
    <row r="674" spans="4:6">
      <c r="D674" s="283">
        <v>5607</v>
      </c>
      <c r="E674" s="283">
        <v>6470</v>
      </c>
      <c r="F674" s="222"/>
    </row>
    <row r="675" spans="4:6">
      <c r="D675" s="283">
        <v>5608</v>
      </c>
      <c r="E675" s="283">
        <v>6488</v>
      </c>
      <c r="F675" s="222"/>
    </row>
    <row r="676" spans="4:6">
      <c r="D676" s="283">
        <v>5706</v>
      </c>
      <c r="E676" s="283">
        <v>6508</v>
      </c>
      <c r="F676" s="222"/>
    </row>
    <row r="677" spans="4:6">
      <c r="D677" s="283">
        <v>5871</v>
      </c>
      <c r="E677" s="283">
        <v>6603</v>
      </c>
      <c r="F677" s="222"/>
    </row>
    <row r="678" spans="4:6">
      <c r="D678" s="283">
        <v>5906</v>
      </c>
      <c r="E678" s="283">
        <v>8024</v>
      </c>
      <c r="F678" s="222"/>
    </row>
    <row r="679" spans="4:6">
      <c r="D679" s="283">
        <v>5907</v>
      </c>
      <c r="E679" s="283">
        <v>8034</v>
      </c>
      <c r="F679" s="222"/>
    </row>
    <row r="680" spans="4:6">
      <c r="D680" s="283">
        <v>6108</v>
      </c>
      <c r="E680" s="283">
        <v>8038</v>
      </c>
      <c r="F680" s="222"/>
    </row>
    <row r="681" spans="4:6">
      <c r="D681" s="283">
        <v>6112</v>
      </c>
      <c r="E681" s="283">
        <v>8043</v>
      </c>
      <c r="F681" s="222"/>
    </row>
    <row r="682" spans="4:6">
      <c r="D682" s="283">
        <v>6115</v>
      </c>
      <c r="E682" s="283">
        <v>8049</v>
      </c>
      <c r="F682" s="222"/>
    </row>
    <row r="683" spans="4:6">
      <c r="D683" s="283">
        <v>6116</v>
      </c>
      <c r="E683" s="283">
        <v>8054</v>
      </c>
      <c r="F683" s="222"/>
    </row>
    <row r="684" spans="4:6">
      <c r="D684" s="283">
        <v>6117</v>
      </c>
      <c r="E684" s="283">
        <v>8067</v>
      </c>
      <c r="F684" s="222"/>
    </row>
    <row r="685" spans="4:6">
      <c r="D685" s="283">
        <v>6120</v>
      </c>
      <c r="E685" s="283">
        <v>8076</v>
      </c>
      <c r="F685" s="222"/>
    </row>
    <row r="686" spans="4:6">
      <c r="D686" s="283">
        <v>6128</v>
      </c>
      <c r="E686" s="283">
        <v>8085</v>
      </c>
      <c r="F686" s="222"/>
    </row>
    <row r="687" spans="4:6">
      <c r="D687" s="283">
        <v>6131</v>
      </c>
      <c r="E687" s="283">
        <v>8093</v>
      </c>
      <c r="F687" s="222"/>
    </row>
    <row r="688" spans="4:6">
      <c r="D688" s="283">
        <v>6133</v>
      </c>
      <c r="E688" s="283">
        <v>8099</v>
      </c>
      <c r="F688" s="222"/>
    </row>
    <row r="689" spans="4:6">
      <c r="D689" s="283">
        <v>6136</v>
      </c>
      <c r="E689" s="283">
        <v>8147</v>
      </c>
      <c r="F689" s="222"/>
    </row>
    <row r="690" spans="4:6">
      <c r="D690" s="283">
        <v>6139</v>
      </c>
      <c r="E690" s="283">
        <v>8182</v>
      </c>
      <c r="F690" s="222"/>
    </row>
    <row r="691" spans="4:6">
      <c r="D691" s="283">
        <v>6141</v>
      </c>
      <c r="E691" s="283">
        <v>8291</v>
      </c>
      <c r="F691" s="222"/>
    </row>
    <row r="692" spans="4:6">
      <c r="D692" s="283">
        <v>6142</v>
      </c>
      <c r="E692" s="283">
        <v>8420</v>
      </c>
      <c r="F692" s="222"/>
    </row>
    <row r="693" spans="4:6">
      <c r="D693" s="283">
        <v>6145</v>
      </c>
      <c r="E693" s="283">
        <v>8423</v>
      </c>
      <c r="F693" s="222"/>
    </row>
    <row r="694" spans="4:6">
      <c r="D694" s="283">
        <v>6152</v>
      </c>
      <c r="E694" s="283">
        <v>8432</v>
      </c>
      <c r="F694" s="222"/>
    </row>
    <row r="695" spans="4:6">
      <c r="D695" s="283">
        <v>6153</v>
      </c>
      <c r="E695" s="283">
        <v>8435</v>
      </c>
      <c r="F695" s="222"/>
    </row>
    <row r="696" spans="4:6">
      <c r="D696" s="283">
        <v>6155</v>
      </c>
      <c r="E696" s="283">
        <v>8436</v>
      </c>
      <c r="F696" s="222"/>
    </row>
    <row r="697" spans="4:6">
      <c r="D697" s="283">
        <v>6164</v>
      </c>
      <c r="E697" s="283">
        <v>8446</v>
      </c>
      <c r="F697" s="222"/>
    </row>
    <row r="698" spans="4:6">
      <c r="D698" s="283">
        <v>6165</v>
      </c>
      <c r="E698" s="283">
        <v>8450</v>
      </c>
      <c r="F698" s="222"/>
    </row>
    <row r="699" spans="4:6">
      <c r="D699" s="283">
        <v>6166</v>
      </c>
      <c r="E699" s="283">
        <v>8906</v>
      </c>
      <c r="F699" s="222"/>
    </row>
    <row r="700" spans="4:6">
      <c r="D700" s="283">
        <v>6168</v>
      </c>
      <c r="E700" s="283">
        <v>8913</v>
      </c>
      <c r="F700" s="222"/>
    </row>
    <row r="701" spans="4:6">
      <c r="D701" s="283">
        <v>6172</v>
      </c>
      <c r="E701" s="283">
        <v>8928</v>
      </c>
      <c r="F701" s="222"/>
    </row>
    <row r="702" spans="4:6">
      <c r="D702" s="283">
        <v>6176</v>
      </c>
      <c r="E702" s="283">
        <v>8930</v>
      </c>
      <c r="F702" s="222"/>
    </row>
    <row r="703" spans="4:6">
      <c r="D703" s="283">
        <v>6177</v>
      </c>
      <c r="E703" s="283">
        <v>8938</v>
      </c>
      <c r="F703" s="222"/>
    </row>
    <row r="704" spans="4:6">
      <c r="D704" s="283">
        <v>6183</v>
      </c>
      <c r="E704" s="283">
        <v>9949</v>
      </c>
      <c r="F704" s="222"/>
    </row>
    <row r="705" spans="4:6">
      <c r="D705" s="283">
        <v>6184</v>
      </c>
      <c r="E705" s="283">
        <v>9962</v>
      </c>
      <c r="F705" s="222"/>
    </row>
    <row r="706" spans="4:6">
      <c r="D706" s="283">
        <v>6189</v>
      </c>
      <c r="E706" s="20"/>
      <c r="F706" s="222"/>
    </row>
    <row r="707" spans="4:6">
      <c r="D707" s="283">
        <v>6191</v>
      </c>
      <c r="E707" s="20"/>
      <c r="F707" s="222"/>
    </row>
    <row r="708" spans="4:6">
      <c r="D708" s="283">
        <v>6192</v>
      </c>
      <c r="E708" s="20"/>
      <c r="F708" s="222"/>
    </row>
    <row r="709" spans="4:6">
      <c r="D709" s="283">
        <v>6196</v>
      </c>
      <c r="E709" s="20"/>
      <c r="F709" s="222"/>
    </row>
    <row r="710" spans="4:6">
      <c r="D710" s="283">
        <v>6197</v>
      </c>
      <c r="E710" s="20"/>
      <c r="F710" s="222"/>
    </row>
    <row r="711" spans="4:6">
      <c r="D711" s="283">
        <v>6201</v>
      </c>
      <c r="E711" s="20"/>
      <c r="F711" s="222"/>
    </row>
    <row r="712" spans="4:6">
      <c r="D712" s="283">
        <v>6202</v>
      </c>
      <c r="E712" s="20"/>
      <c r="F712" s="222"/>
    </row>
    <row r="713" spans="4:6">
      <c r="D713" s="283">
        <v>6205</v>
      </c>
      <c r="E713" s="20"/>
      <c r="F713" s="222"/>
    </row>
    <row r="714" spans="4:6">
      <c r="D714" s="283">
        <v>6206</v>
      </c>
      <c r="E714" s="20"/>
      <c r="F714" s="222"/>
    </row>
    <row r="715" spans="4:6">
      <c r="D715" s="283">
        <v>6209</v>
      </c>
      <c r="E715" s="20"/>
      <c r="F715" s="222"/>
    </row>
    <row r="716" spans="4:6">
      <c r="D716" s="283">
        <v>6213</v>
      </c>
      <c r="E716" s="20"/>
      <c r="F716" s="222"/>
    </row>
    <row r="717" spans="4:6">
      <c r="D717" s="283">
        <v>6214</v>
      </c>
      <c r="E717" s="20"/>
      <c r="F717" s="222"/>
    </row>
    <row r="718" spans="4:6">
      <c r="D718" s="283">
        <v>6215</v>
      </c>
      <c r="E718" s="20"/>
      <c r="F718" s="222"/>
    </row>
    <row r="719" spans="4:6">
      <c r="D719" s="283">
        <v>6216</v>
      </c>
      <c r="E719" s="20"/>
      <c r="F719" s="222"/>
    </row>
    <row r="720" spans="4:6">
      <c r="D720" s="283">
        <v>6224</v>
      </c>
      <c r="E720" s="20"/>
      <c r="F720" s="222"/>
    </row>
    <row r="721" spans="4:6">
      <c r="D721" s="283">
        <v>6225</v>
      </c>
      <c r="E721" s="20"/>
      <c r="F721" s="222"/>
    </row>
    <row r="722" spans="4:6">
      <c r="D722" s="283">
        <v>6226</v>
      </c>
      <c r="E722" s="20"/>
      <c r="F722" s="222"/>
    </row>
    <row r="723" spans="4:6">
      <c r="D723" s="283">
        <v>6230</v>
      </c>
      <c r="E723" s="20"/>
      <c r="F723" s="222"/>
    </row>
    <row r="724" spans="4:6">
      <c r="D724" s="283">
        <v>6235</v>
      </c>
      <c r="E724" s="20"/>
      <c r="F724" s="222"/>
    </row>
    <row r="725" spans="4:6">
      <c r="D725" s="283">
        <v>6239</v>
      </c>
      <c r="E725" s="20"/>
      <c r="F725" s="222"/>
    </row>
    <row r="726" spans="4:6">
      <c r="D726" s="283">
        <v>6243</v>
      </c>
      <c r="E726" s="20"/>
      <c r="F726" s="222"/>
    </row>
    <row r="727" spans="4:6">
      <c r="D727" s="283">
        <v>6251</v>
      </c>
      <c r="E727" s="20"/>
      <c r="F727" s="222"/>
    </row>
    <row r="728" spans="4:6">
      <c r="D728" s="283">
        <v>6257</v>
      </c>
      <c r="E728" s="20"/>
      <c r="F728" s="222"/>
    </row>
    <row r="729" spans="4:6">
      <c r="D729" s="283">
        <v>6269</v>
      </c>
      <c r="E729" s="20"/>
      <c r="F729" s="222"/>
    </row>
    <row r="730" spans="4:6">
      <c r="D730" s="283">
        <v>6271</v>
      </c>
      <c r="E730" s="20"/>
      <c r="F730" s="222"/>
    </row>
    <row r="731" spans="4:6">
      <c r="D731" s="283">
        <v>6277</v>
      </c>
      <c r="E731" s="20"/>
      <c r="F731" s="222"/>
    </row>
    <row r="732" spans="4:6">
      <c r="D732" s="283">
        <v>6278</v>
      </c>
      <c r="E732" s="20"/>
      <c r="F732" s="222"/>
    </row>
    <row r="733" spans="4:6">
      <c r="D733" s="283">
        <v>6281</v>
      </c>
      <c r="E733" s="20"/>
      <c r="F733" s="222"/>
    </row>
    <row r="734" spans="4:6">
      <c r="D734" s="283">
        <v>6282</v>
      </c>
      <c r="E734" s="20"/>
      <c r="F734" s="222"/>
    </row>
    <row r="735" spans="4:6">
      <c r="D735" s="283">
        <v>6283</v>
      </c>
      <c r="E735" s="20"/>
      <c r="F735" s="222"/>
    </row>
    <row r="736" spans="4:6">
      <c r="D736" s="283">
        <v>6285</v>
      </c>
      <c r="E736" s="20"/>
      <c r="F736" s="222"/>
    </row>
    <row r="737" spans="4:6">
      <c r="D737" s="283">
        <v>6286</v>
      </c>
      <c r="E737" s="20"/>
      <c r="F737" s="222"/>
    </row>
    <row r="738" spans="4:6">
      <c r="D738" s="283">
        <v>6289</v>
      </c>
      <c r="E738" s="20"/>
      <c r="F738" s="222"/>
    </row>
    <row r="739" spans="4:6">
      <c r="D739" s="283">
        <v>6405</v>
      </c>
      <c r="E739" s="20"/>
      <c r="F739" s="222"/>
    </row>
    <row r="740" spans="4:6">
      <c r="D740" s="283">
        <v>6409</v>
      </c>
      <c r="E740" s="20"/>
      <c r="F740" s="222"/>
    </row>
    <row r="741" spans="4:6">
      <c r="D741" s="283">
        <v>6412</v>
      </c>
      <c r="E741" s="20"/>
      <c r="F741" s="222"/>
    </row>
    <row r="742" spans="4:6">
      <c r="D742" s="283">
        <v>6414</v>
      </c>
      <c r="E742" s="20"/>
      <c r="F742" s="222"/>
    </row>
    <row r="743" spans="4:6">
      <c r="D743" s="283">
        <v>6415</v>
      </c>
      <c r="E743" s="20"/>
      <c r="F743" s="222"/>
    </row>
    <row r="744" spans="4:6">
      <c r="D744" s="283">
        <v>6422</v>
      </c>
      <c r="E744" s="20"/>
      <c r="F744" s="222"/>
    </row>
    <row r="745" spans="4:6">
      <c r="D745" s="283">
        <v>6431</v>
      </c>
      <c r="E745" s="20"/>
      <c r="F745" s="222"/>
    </row>
    <row r="746" spans="4:6">
      <c r="D746" s="283">
        <v>6442</v>
      </c>
      <c r="E746" s="20"/>
      <c r="F746" s="222"/>
    </row>
    <row r="747" spans="4:6">
      <c r="D747" s="283">
        <v>6443</v>
      </c>
      <c r="E747" s="20"/>
      <c r="F747" s="222"/>
    </row>
    <row r="748" spans="4:6">
      <c r="D748" s="283">
        <v>6449</v>
      </c>
      <c r="E748" s="20"/>
      <c r="F748" s="222"/>
    </row>
    <row r="749" spans="4:6">
      <c r="D749" s="283">
        <v>6451</v>
      </c>
      <c r="E749" s="20"/>
      <c r="F749" s="222"/>
    </row>
    <row r="750" spans="4:6">
      <c r="D750" s="283">
        <v>6452</v>
      </c>
      <c r="E750" s="20"/>
      <c r="F750" s="222"/>
    </row>
    <row r="751" spans="4:6">
      <c r="D751" s="283">
        <v>6456</v>
      </c>
      <c r="E751" s="20"/>
      <c r="F751" s="222"/>
    </row>
    <row r="752" spans="4:6">
      <c r="D752" s="283">
        <v>6504</v>
      </c>
      <c r="E752" s="20"/>
      <c r="F752" s="222"/>
    </row>
    <row r="753" spans="4:6">
      <c r="D753" s="283">
        <v>6505</v>
      </c>
      <c r="E753" s="20"/>
      <c r="F753" s="222"/>
    </row>
    <row r="754" spans="4:6">
      <c r="D754" s="283">
        <v>6605</v>
      </c>
      <c r="E754" s="20"/>
      <c r="F754" s="222"/>
    </row>
    <row r="755" spans="4:6">
      <c r="D755" s="283">
        <v>6702</v>
      </c>
      <c r="E755" s="20"/>
      <c r="F755" s="222"/>
    </row>
    <row r="756" spans="4:6">
      <c r="D756" s="283">
        <v>8011</v>
      </c>
      <c r="E756" s="20"/>
      <c r="F756" s="222"/>
    </row>
    <row r="757" spans="4:6">
      <c r="D757" s="283">
        <v>8016</v>
      </c>
      <c r="E757" s="20"/>
      <c r="F757" s="222"/>
    </row>
    <row r="758" spans="4:6">
      <c r="D758" s="283">
        <v>8021</v>
      </c>
      <c r="E758" s="20"/>
      <c r="F758" s="222"/>
    </row>
    <row r="759" spans="4:6">
      <c r="D759" s="283">
        <v>8033</v>
      </c>
      <c r="E759" s="20"/>
      <c r="F759" s="222"/>
    </row>
    <row r="760" spans="4:6">
      <c r="D760" s="283">
        <v>8039</v>
      </c>
      <c r="E760" s="20"/>
      <c r="F760" s="222"/>
    </row>
    <row r="761" spans="4:6">
      <c r="D761" s="283">
        <v>8046</v>
      </c>
      <c r="E761" s="20"/>
      <c r="F761" s="222"/>
    </row>
    <row r="762" spans="4:6">
      <c r="D762" s="283">
        <v>8070</v>
      </c>
      <c r="E762" s="20"/>
      <c r="F762" s="222"/>
    </row>
    <row r="763" spans="4:6">
      <c r="D763" s="283">
        <v>8072</v>
      </c>
      <c r="E763" s="20"/>
      <c r="F763" s="222"/>
    </row>
    <row r="764" spans="4:6">
      <c r="D764" s="283">
        <v>8081</v>
      </c>
      <c r="E764" s="20"/>
      <c r="F764" s="222"/>
    </row>
    <row r="765" spans="4:6">
      <c r="D765" s="283">
        <v>8101</v>
      </c>
      <c r="E765" s="20"/>
      <c r="F765" s="222"/>
    </row>
    <row r="766" spans="4:6">
      <c r="D766" s="283">
        <v>8103</v>
      </c>
      <c r="E766" s="20"/>
      <c r="F766" s="222"/>
    </row>
    <row r="767" spans="4:6">
      <c r="D767" s="283">
        <v>8105</v>
      </c>
      <c r="E767" s="20"/>
      <c r="F767" s="222"/>
    </row>
    <row r="768" spans="4:6">
      <c r="D768" s="283">
        <v>8110</v>
      </c>
      <c r="E768" s="20"/>
      <c r="F768" s="222"/>
    </row>
    <row r="769" spans="4:6">
      <c r="D769" s="283">
        <v>8112</v>
      </c>
      <c r="E769" s="20"/>
      <c r="F769" s="222"/>
    </row>
    <row r="770" spans="4:6">
      <c r="D770" s="283">
        <v>8114</v>
      </c>
      <c r="E770" s="20"/>
      <c r="F770" s="222"/>
    </row>
    <row r="771" spans="4:6">
      <c r="D771" s="283">
        <v>8131</v>
      </c>
      <c r="E771" s="20"/>
      <c r="F771" s="222"/>
    </row>
    <row r="772" spans="4:6">
      <c r="D772" s="283">
        <v>8150</v>
      </c>
      <c r="E772" s="20"/>
      <c r="F772" s="222"/>
    </row>
    <row r="773" spans="4:6">
      <c r="D773" s="283">
        <v>8163</v>
      </c>
      <c r="E773" s="20"/>
      <c r="F773" s="222"/>
    </row>
    <row r="774" spans="4:6">
      <c r="D774" s="283">
        <v>8201</v>
      </c>
      <c r="E774" s="20"/>
      <c r="F774" s="222"/>
    </row>
    <row r="775" spans="4:6">
      <c r="D775" s="283">
        <v>8210</v>
      </c>
      <c r="E775" s="20"/>
      <c r="F775" s="222"/>
    </row>
    <row r="776" spans="4:6">
      <c r="D776" s="283">
        <v>8213</v>
      </c>
      <c r="E776" s="20"/>
      <c r="F776" s="222"/>
    </row>
    <row r="777" spans="4:6">
      <c r="D777" s="283">
        <v>8215</v>
      </c>
      <c r="E777" s="20"/>
      <c r="F777" s="222"/>
    </row>
    <row r="778" spans="4:6">
      <c r="D778" s="283">
        <v>8222</v>
      </c>
      <c r="E778" s="20"/>
      <c r="F778" s="222"/>
    </row>
    <row r="779" spans="4:6">
      <c r="D779" s="283">
        <v>8249</v>
      </c>
      <c r="E779" s="20"/>
      <c r="F779" s="222"/>
    </row>
    <row r="780" spans="4:6">
      <c r="D780" s="283">
        <v>8261</v>
      </c>
      <c r="E780" s="20"/>
      <c r="F780" s="222"/>
    </row>
    <row r="781" spans="4:6">
      <c r="D781" s="283">
        <v>8271</v>
      </c>
      <c r="E781" s="20"/>
      <c r="F781" s="222"/>
    </row>
    <row r="782" spans="4:6">
      <c r="D782" s="283">
        <v>8341</v>
      </c>
      <c r="E782" s="20"/>
      <c r="F782" s="222"/>
    </row>
    <row r="783" spans="4:6">
      <c r="D783" s="283">
        <v>8374</v>
      </c>
      <c r="E783" s="20"/>
      <c r="F783" s="222"/>
    </row>
    <row r="784" spans="4:6">
      <c r="D784" s="283">
        <v>8404</v>
      </c>
      <c r="E784" s="20"/>
      <c r="F784" s="222"/>
    </row>
    <row r="785" spans="4:6">
      <c r="D785" s="283">
        <v>8411</v>
      </c>
      <c r="E785" s="20"/>
      <c r="F785" s="222"/>
    </row>
    <row r="786" spans="4:6">
      <c r="D786" s="283">
        <v>8422</v>
      </c>
      <c r="E786" s="20"/>
      <c r="F786" s="222"/>
    </row>
    <row r="787" spans="4:6">
      <c r="D787" s="283">
        <v>8427</v>
      </c>
      <c r="E787" s="20"/>
      <c r="F787" s="222"/>
    </row>
    <row r="788" spans="4:6">
      <c r="D788" s="283">
        <v>8429</v>
      </c>
      <c r="E788" s="20"/>
      <c r="F788" s="222"/>
    </row>
    <row r="789" spans="4:6">
      <c r="D789" s="283">
        <v>8443</v>
      </c>
      <c r="E789" s="20"/>
      <c r="F789" s="222"/>
    </row>
    <row r="790" spans="4:6">
      <c r="D790" s="283">
        <v>8454</v>
      </c>
      <c r="E790" s="20"/>
      <c r="F790" s="222"/>
    </row>
    <row r="791" spans="4:6">
      <c r="D791" s="283">
        <v>8463</v>
      </c>
      <c r="E791" s="20"/>
      <c r="F791" s="222"/>
    </row>
    <row r="792" spans="4:6">
      <c r="D792" s="283">
        <v>8926</v>
      </c>
      <c r="E792" s="20"/>
      <c r="F792" s="222"/>
    </row>
    <row r="793" spans="4:6">
      <c r="D793" s="283">
        <v>8940</v>
      </c>
      <c r="E793" s="20"/>
      <c r="F793" s="222"/>
    </row>
    <row r="794" spans="4:6">
      <c r="D794" s="283">
        <v>8996</v>
      </c>
      <c r="E794" s="20"/>
      <c r="F794" s="222"/>
    </row>
    <row r="795" spans="4:6">
      <c r="D795" s="283">
        <v>9802</v>
      </c>
      <c r="E795" s="20"/>
      <c r="F795" s="222"/>
    </row>
    <row r="796" spans="4:6">
      <c r="D796" s="283">
        <v>9902</v>
      </c>
      <c r="E796" s="20"/>
      <c r="F796" s="222"/>
    </row>
    <row r="797" spans="4:6">
      <c r="D797" s="283">
        <v>9904</v>
      </c>
      <c r="E797" s="20"/>
      <c r="F797" s="222"/>
    </row>
    <row r="798" spans="4:6">
      <c r="D798" s="283">
        <v>9905</v>
      </c>
      <c r="E798" s="20"/>
      <c r="F798" s="222"/>
    </row>
    <row r="799" spans="4:6">
      <c r="D799" s="283">
        <v>9906</v>
      </c>
      <c r="E799" s="20"/>
      <c r="F799" s="222"/>
    </row>
    <row r="800" spans="4:6">
      <c r="D800" s="283">
        <v>9907</v>
      </c>
      <c r="E800" s="20"/>
      <c r="F800" s="222"/>
    </row>
    <row r="801" spans="4:6">
      <c r="D801" s="283">
        <v>9908</v>
      </c>
      <c r="E801" s="20"/>
      <c r="F801" s="222"/>
    </row>
    <row r="802" spans="4:6">
      <c r="D802" s="283">
        <v>9910</v>
      </c>
      <c r="E802" s="20"/>
      <c r="F802" s="222"/>
    </row>
    <row r="803" spans="4:6">
      <c r="D803" s="283">
        <v>9911</v>
      </c>
      <c r="E803" s="20"/>
      <c r="F803" s="222"/>
    </row>
    <row r="804" spans="4:6">
      <c r="D804" s="283">
        <v>9912</v>
      </c>
      <c r="E804" s="20"/>
      <c r="F804" s="222"/>
    </row>
    <row r="805" spans="4:6">
      <c r="D805" s="283">
        <v>9914</v>
      </c>
      <c r="E805" s="20"/>
      <c r="F805" s="222"/>
    </row>
    <row r="806" spans="4:6">
      <c r="D806" s="283">
        <v>9917</v>
      </c>
      <c r="E806" s="20"/>
      <c r="F806" s="222"/>
    </row>
    <row r="807" spans="4:6">
      <c r="D807" s="283">
        <v>9918</v>
      </c>
      <c r="E807" s="20"/>
      <c r="F807" s="222"/>
    </row>
    <row r="808" spans="4:6">
      <c r="D808" s="283">
        <v>9919</v>
      </c>
      <c r="E808" s="20"/>
      <c r="F808" s="222"/>
    </row>
    <row r="809" spans="4:6">
      <c r="D809" s="283">
        <v>9921</v>
      </c>
      <c r="E809" s="20"/>
      <c r="F809" s="222"/>
    </row>
    <row r="810" spans="4:6">
      <c r="D810" s="283">
        <v>9924</v>
      </c>
      <c r="E810" s="20"/>
      <c r="F810" s="222"/>
    </row>
    <row r="811" spans="4:6">
      <c r="D811" s="283">
        <v>9925</v>
      </c>
      <c r="E811" s="20"/>
      <c r="F811" s="222"/>
    </row>
    <row r="812" spans="4:6">
      <c r="D812" s="283">
        <v>9926</v>
      </c>
      <c r="E812" s="20"/>
      <c r="F812" s="222"/>
    </row>
    <row r="813" spans="4:6">
      <c r="D813" s="283">
        <v>9927</v>
      </c>
      <c r="E813" s="20"/>
      <c r="F813" s="222"/>
    </row>
    <row r="814" spans="4:6">
      <c r="D814" s="283">
        <v>9928</v>
      </c>
      <c r="E814" s="20"/>
      <c r="F814" s="222"/>
    </row>
    <row r="815" spans="4:6">
      <c r="D815" s="283">
        <v>9929</v>
      </c>
      <c r="E815" s="20"/>
      <c r="F815" s="222"/>
    </row>
    <row r="816" spans="4:6">
      <c r="D816" s="283">
        <v>9930</v>
      </c>
      <c r="E816" s="20"/>
      <c r="F816" s="222"/>
    </row>
    <row r="817" spans="4:6">
      <c r="D817" s="283">
        <v>9931</v>
      </c>
      <c r="E817" s="20"/>
      <c r="F817" s="222"/>
    </row>
    <row r="818" spans="4:6">
      <c r="D818" s="283">
        <v>9933</v>
      </c>
      <c r="E818" s="20"/>
      <c r="F818" s="222"/>
    </row>
    <row r="819" spans="4:6">
      <c r="D819" s="283">
        <v>9934</v>
      </c>
      <c r="E819" s="20"/>
      <c r="F819" s="222"/>
    </row>
    <row r="820" spans="4:6">
      <c r="D820" s="283">
        <v>9935</v>
      </c>
      <c r="E820" s="20"/>
      <c r="F820" s="222"/>
    </row>
    <row r="821" spans="4:6">
      <c r="D821" s="283">
        <v>9937</v>
      </c>
      <c r="E821" s="20"/>
      <c r="F821" s="222"/>
    </row>
    <row r="822" spans="4:6">
      <c r="D822" s="283">
        <v>9938</v>
      </c>
      <c r="E822" s="20"/>
      <c r="F822" s="222"/>
    </row>
    <row r="823" spans="4:6">
      <c r="D823" s="283">
        <v>9939</v>
      </c>
      <c r="E823" s="20"/>
      <c r="F823" s="222"/>
    </row>
    <row r="824" spans="4:6">
      <c r="D824" s="283">
        <v>9940</v>
      </c>
      <c r="E824" s="20"/>
      <c r="F824" s="222"/>
    </row>
    <row r="825" spans="4:6">
      <c r="D825" s="283">
        <v>9941</v>
      </c>
      <c r="E825" s="20"/>
      <c r="F825" s="222"/>
    </row>
    <row r="826" spans="4:6">
      <c r="D826" s="283">
        <v>9942</v>
      </c>
      <c r="E826" s="20"/>
      <c r="F826" s="222"/>
    </row>
    <row r="827" spans="4:6">
      <c r="D827" s="283">
        <v>9943</v>
      </c>
      <c r="E827" s="20"/>
      <c r="F827" s="222"/>
    </row>
    <row r="828" spans="4:6">
      <c r="D828" s="283">
        <v>9944</v>
      </c>
      <c r="E828" s="20"/>
      <c r="F828" s="222"/>
    </row>
    <row r="829" spans="4:6">
      <c r="D829" s="283">
        <v>9945</v>
      </c>
      <c r="E829" s="20"/>
      <c r="F829" s="222"/>
    </row>
    <row r="830" spans="4:6">
      <c r="D830" s="283">
        <v>9946</v>
      </c>
      <c r="E830" s="20"/>
      <c r="F830" s="222"/>
    </row>
    <row r="831" spans="4:6">
      <c r="D831" s="283">
        <v>9955</v>
      </c>
      <c r="E831" s="20"/>
      <c r="F831" s="222"/>
    </row>
    <row r="832" spans="4:6">
      <c r="D832" s="283">
        <v>9958</v>
      </c>
      <c r="E832" s="20"/>
      <c r="F832" s="222"/>
    </row>
    <row r="833" spans="4:6">
      <c r="D833" s="283">
        <v>1256</v>
      </c>
      <c r="E833" s="20"/>
      <c r="F833" s="222"/>
    </row>
    <row r="834" spans="4:6">
      <c r="D834" s="283">
        <v>1258</v>
      </c>
      <c r="E834" s="20"/>
      <c r="F834" s="222"/>
    </row>
    <row r="835" spans="4:6">
      <c r="D835" s="283">
        <v>1259</v>
      </c>
      <c r="E835" s="20"/>
      <c r="F835" s="222"/>
    </row>
    <row r="836" spans="4:6">
      <c r="D836" s="283">
        <v>1264</v>
      </c>
      <c r="E836" s="20"/>
      <c r="F836" s="222"/>
    </row>
    <row r="837" spans="4:6">
      <c r="D837" s="283">
        <v>1333</v>
      </c>
      <c r="E837" s="20"/>
      <c r="F837" s="222"/>
    </row>
    <row r="838" spans="4:6">
      <c r="D838" s="283">
        <v>1336</v>
      </c>
      <c r="E838" s="20"/>
      <c r="F838" s="222"/>
    </row>
    <row r="839" spans="4:6">
      <c r="D839" s="283">
        <v>1565</v>
      </c>
      <c r="E839" s="20"/>
      <c r="F839" s="222"/>
    </row>
    <row r="840" spans="4:6">
      <c r="D840" s="283">
        <v>1566</v>
      </c>
      <c r="E840" s="20"/>
      <c r="F840" s="222"/>
    </row>
    <row r="841" spans="4:6">
      <c r="D841" s="283">
        <v>1569</v>
      </c>
      <c r="E841" s="20"/>
      <c r="F841" s="222"/>
    </row>
    <row r="842" spans="4:6">
      <c r="D842" s="283">
        <v>1570</v>
      </c>
      <c r="E842" s="20"/>
      <c r="F842" s="222"/>
    </row>
    <row r="843" spans="4:6">
      <c r="D843" s="283">
        <v>1580</v>
      </c>
      <c r="E843" s="20"/>
      <c r="F843" s="222"/>
    </row>
    <row r="844" spans="4:6">
      <c r="D844" s="283">
        <v>1584</v>
      </c>
      <c r="E844" s="20"/>
      <c r="F844" s="222"/>
    </row>
    <row r="845" spans="4:6">
      <c r="D845" s="283">
        <v>1586</v>
      </c>
      <c r="E845" s="20"/>
      <c r="F845" s="222"/>
    </row>
    <row r="846" spans="4:6">
      <c r="D846" s="283">
        <v>1591</v>
      </c>
      <c r="E846" s="20"/>
      <c r="F846" s="222"/>
    </row>
    <row r="847" spans="4:6">
      <c r="D847" s="283">
        <v>1593</v>
      </c>
      <c r="E847" s="20"/>
      <c r="F847" s="222"/>
    </row>
    <row r="848" spans="4:6">
      <c r="D848" s="283">
        <v>1595</v>
      </c>
      <c r="E848" s="20"/>
      <c r="F848" s="222"/>
    </row>
    <row r="849" spans="4:6">
      <c r="D849" s="283">
        <v>1597</v>
      </c>
      <c r="E849" s="20"/>
      <c r="F849" s="222"/>
    </row>
    <row r="850" spans="4:6">
      <c r="D850" s="283">
        <v>1599</v>
      </c>
      <c r="E850" s="20"/>
      <c r="F850" s="222"/>
    </row>
    <row r="851" spans="4:6">
      <c r="D851" s="283">
        <v>1742</v>
      </c>
      <c r="E851" s="20"/>
      <c r="F851" s="222"/>
    </row>
    <row r="852" spans="4:6">
      <c r="D852" s="283">
        <v>1752</v>
      </c>
      <c r="E852" s="20"/>
      <c r="F852" s="222"/>
    </row>
    <row r="853" spans="4:6">
      <c r="D853" s="283">
        <v>1777</v>
      </c>
      <c r="E853" s="20"/>
      <c r="F853" s="222"/>
    </row>
    <row r="854" spans="4:6">
      <c r="D854" s="283">
        <v>1781</v>
      </c>
      <c r="E854" s="20"/>
      <c r="F854" s="222"/>
    </row>
    <row r="855" spans="4:6">
      <c r="D855" s="283">
        <v>1784</v>
      </c>
      <c r="E855" s="20"/>
      <c r="F855" s="222"/>
    </row>
    <row r="856" spans="4:6">
      <c r="D856" s="283">
        <v>1785</v>
      </c>
      <c r="E856" s="20"/>
      <c r="F856" s="222"/>
    </row>
    <row r="857" spans="4:6">
      <c r="D857" s="283">
        <v>1787</v>
      </c>
      <c r="E857" s="20"/>
      <c r="F857" s="222"/>
    </row>
    <row r="858" spans="4:6">
      <c r="D858" s="283">
        <v>1788</v>
      </c>
      <c r="E858" s="20"/>
      <c r="F858" s="222"/>
    </row>
    <row r="859" spans="4:6">
      <c r="D859" s="283">
        <v>1795</v>
      </c>
      <c r="E859" s="20"/>
      <c r="F859" s="222"/>
    </row>
    <row r="860" spans="4:6">
      <c r="D860" s="283">
        <v>1799</v>
      </c>
      <c r="E860" s="20"/>
      <c r="F860" s="222"/>
    </row>
    <row r="861" spans="4:6">
      <c r="D861" s="283">
        <v>1813</v>
      </c>
      <c r="E861" s="20"/>
      <c r="F861" s="222"/>
    </row>
    <row r="862" spans="4:6">
      <c r="D862" s="283">
        <v>1815</v>
      </c>
      <c r="E862" s="20"/>
      <c r="F862" s="222"/>
    </row>
    <row r="863" spans="4:6">
      <c r="D863" s="283">
        <v>2035</v>
      </c>
      <c r="E863" s="20"/>
      <c r="F863" s="222"/>
    </row>
    <row r="864" spans="4:6">
      <c r="D864" s="283">
        <v>2061</v>
      </c>
      <c r="E864" s="20"/>
      <c r="F864" s="222"/>
    </row>
    <row r="865" spans="4:6">
      <c r="D865" s="283">
        <v>2063</v>
      </c>
      <c r="E865" s="20"/>
      <c r="F865" s="222"/>
    </row>
    <row r="866" spans="4:6">
      <c r="D866" s="283">
        <v>2064</v>
      </c>
      <c r="E866" s="20"/>
      <c r="F866" s="222"/>
    </row>
    <row r="867" spans="4:6">
      <c r="D867" s="283">
        <v>2066</v>
      </c>
      <c r="E867" s="20"/>
      <c r="F867" s="222"/>
    </row>
    <row r="868" spans="4:6">
      <c r="D868" s="283">
        <v>2067</v>
      </c>
      <c r="E868" s="20"/>
      <c r="F868" s="222"/>
    </row>
    <row r="869" spans="4:6">
      <c r="D869" s="283">
        <v>2221</v>
      </c>
      <c r="E869" s="20"/>
      <c r="F869" s="222"/>
    </row>
    <row r="870" spans="4:6">
      <c r="D870" s="283">
        <v>2230</v>
      </c>
      <c r="E870" s="20"/>
      <c r="F870" s="222"/>
    </row>
    <row r="871" spans="4:6">
      <c r="D871" s="283">
        <v>2233</v>
      </c>
      <c r="E871" s="20"/>
      <c r="F871" s="222"/>
    </row>
    <row r="872" spans="4:6">
      <c r="D872" s="283">
        <v>2235</v>
      </c>
      <c r="E872" s="20"/>
      <c r="F872" s="222"/>
    </row>
    <row r="873" spans="4:6">
      <c r="D873" s="283">
        <v>2636</v>
      </c>
      <c r="E873" s="20"/>
      <c r="F873" s="222"/>
    </row>
    <row r="874" spans="4:6">
      <c r="D874" s="283">
        <v>2640</v>
      </c>
      <c r="E874" s="20"/>
      <c r="F874" s="222"/>
    </row>
    <row r="875" spans="4:6">
      <c r="D875" s="283">
        <v>2641</v>
      </c>
      <c r="E875" s="20"/>
      <c r="F875" s="222"/>
    </row>
    <row r="876" spans="4:6">
      <c r="D876" s="283">
        <v>2718</v>
      </c>
      <c r="E876" s="20"/>
      <c r="F876" s="222"/>
    </row>
    <row r="877" spans="4:6">
      <c r="D877" s="283">
        <v>2719</v>
      </c>
      <c r="E877" s="20"/>
      <c r="F877" s="222"/>
    </row>
    <row r="878" spans="4:6">
      <c r="D878" s="283">
        <v>2724</v>
      </c>
      <c r="E878" s="20"/>
      <c r="F878" s="222"/>
    </row>
    <row r="879" spans="4:6">
      <c r="D879" s="283">
        <v>2726</v>
      </c>
      <c r="E879" s="20"/>
      <c r="F879" s="222"/>
    </row>
    <row r="880" spans="4:6">
      <c r="D880" s="283">
        <v>2729</v>
      </c>
      <c r="E880" s="20"/>
      <c r="F880" s="222"/>
    </row>
    <row r="881" spans="4:6">
      <c r="D881" s="283">
        <v>2732</v>
      </c>
      <c r="E881" s="20"/>
      <c r="F881" s="222"/>
    </row>
    <row r="882" spans="4:6">
      <c r="D882" s="283">
        <v>2734</v>
      </c>
      <c r="E882" s="20"/>
      <c r="F882" s="222"/>
    </row>
    <row r="883" spans="4:6">
      <c r="D883" s="283">
        <v>2916</v>
      </c>
      <c r="E883" s="20"/>
      <c r="F883" s="222"/>
    </row>
    <row r="884" spans="4:6">
      <c r="D884" s="283">
        <v>2924</v>
      </c>
      <c r="E884" s="20"/>
      <c r="F884" s="222"/>
    </row>
    <row r="885" spans="4:6">
      <c r="D885" s="283">
        <v>2926</v>
      </c>
      <c r="E885" s="20"/>
      <c r="F885" s="222"/>
    </row>
    <row r="886" spans="4:6">
      <c r="D886" s="283">
        <v>3064</v>
      </c>
      <c r="E886" s="20"/>
      <c r="F886" s="222"/>
    </row>
    <row r="887" spans="4:6">
      <c r="D887" s="283">
        <v>3066</v>
      </c>
      <c r="E887" s="20"/>
      <c r="F887" s="222"/>
    </row>
    <row r="888" spans="4:6">
      <c r="D888" s="283">
        <v>3067</v>
      </c>
      <c r="E888" s="20"/>
      <c r="F888" s="222"/>
    </row>
    <row r="889" spans="4:6">
      <c r="D889" s="283">
        <v>3068</v>
      </c>
      <c r="E889" s="20"/>
      <c r="F889" s="222"/>
    </row>
    <row r="890" spans="4:6">
      <c r="D890" s="283">
        <v>3071</v>
      </c>
      <c r="E890" s="20"/>
      <c r="F890" s="222"/>
    </row>
    <row r="891" spans="4:6">
      <c r="D891" s="283">
        <v>3073</v>
      </c>
      <c r="E891" s="20"/>
      <c r="F891" s="222"/>
    </row>
    <row r="892" spans="4:6">
      <c r="D892" s="283">
        <v>3078</v>
      </c>
      <c r="E892" s="20"/>
      <c r="F892" s="222"/>
    </row>
    <row r="893" spans="4:6">
      <c r="D893" s="283">
        <v>3081</v>
      </c>
      <c r="E893" s="20"/>
      <c r="F893" s="222"/>
    </row>
    <row r="894" spans="4:6">
      <c r="D894" s="283">
        <v>3083</v>
      </c>
      <c r="E894" s="20"/>
      <c r="F894" s="222"/>
    </row>
    <row r="895" spans="4:6">
      <c r="D895" s="283">
        <v>3085</v>
      </c>
      <c r="E895" s="20"/>
      <c r="F895" s="222"/>
    </row>
    <row r="896" spans="4:6">
      <c r="D896" s="283">
        <v>3086</v>
      </c>
      <c r="E896" s="20"/>
      <c r="F896" s="222"/>
    </row>
    <row r="897" spans="4:6">
      <c r="D897" s="283">
        <v>3088</v>
      </c>
      <c r="E897" s="20"/>
      <c r="F897" s="222"/>
    </row>
    <row r="898" spans="4:6">
      <c r="D898" s="283">
        <v>3089</v>
      </c>
      <c r="E898" s="20"/>
      <c r="F898" s="222"/>
    </row>
    <row r="899" spans="4:6">
      <c r="D899" s="283">
        <v>3092</v>
      </c>
      <c r="E899" s="20"/>
      <c r="F899" s="222"/>
    </row>
    <row r="900" spans="4:6">
      <c r="D900" s="283">
        <v>3093</v>
      </c>
      <c r="E900" s="20"/>
      <c r="F900" s="222"/>
    </row>
    <row r="901" spans="4:6">
      <c r="D901" s="283">
        <v>3095</v>
      </c>
      <c r="E901" s="20"/>
      <c r="F901" s="222"/>
    </row>
    <row r="902" spans="4:6">
      <c r="D902" s="283">
        <v>3105</v>
      </c>
      <c r="E902" s="20"/>
      <c r="F902" s="222"/>
    </row>
    <row r="903" spans="4:6">
      <c r="D903" s="283">
        <v>3114</v>
      </c>
      <c r="E903" s="20"/>
      <c r="F903" s="222"/>
    </row>
    <row r="904" spans="4:6">
      <c r="D904" s="283">
        <v>3115</v>
      </c>
      <c r="E904" s="20"/>
      <c r="F904" s="222"/>
    </row>
    <row r="905" spans="4:6">
      <c r="D905" s="283">
        <v>3118</v>
      </c>
      <c r="E905" s="20"/>
      <c r="F905" s="222"/>
    </row>
    <row r="906" spans="4:6">
      <c r="D906" s="283">
        <v>3122</v>
      </c>
      <c r="E906" s="20"/>
      <c r="F906" s="222"/>
    </row>
    <row r="907" spans="4:6">
      <c r="D907" s="283">
        <v>3126</v>
      </c>
      <c r="E907" s="20"/>
      <c r="F907" s="222"/>
    </row>
    <row r="908" spans="4:6">
      <c r="D908" s="283">
        <v>3128</v>
      </c>
      <c r="E908" s="20"/>
      <c r="F908" s="222"/>
    </row>
    <row r="909" spans="4:6">
      <c r="D909" s="283">
        <v>3131</v>
      </c>
      <c r="E909" s="20"/>
      <c r="F909" s="222"/>
    </row>
    <row r="910" spans="4:6">
      <c r="D910" s="283">
        <v>3141</v>
      </c>
      <c r="E910" s="20"/>
      <c r="F910" s="222"/>
    </row>
    <row r="911" spans="4:6">
      <c r="D911" s="283">
        <v>3144</v>
      </c>
      <c r="E911" s="20"/>
      <c r="F911" s="222"/>
    </row>
    <row r="912" spans="4:6">
      <c r="D912" s="283">
        <v>3152</v>
      </c>
      <c r="E912" s="20"/>
      <c r="F912" s="222"/>
    </row>
    <row r="913" spans="4:6">
      <c r="D913" s="283">
        <v>3162</v>
      </c>
      <c r="E913" s="20"/>
      <c r="F913" s="222"/>
    </row>
    <row r="914" spans="4:6">
      <c r="D914" s="283">
        <v>3163</v>
      </c>
      <c r="E914" s="20"/>
      <c r="F914" s="222"/>
    </row>
    <row r="915" spans="4:6">
      <c r="D915" s="283">
        <v>3169</v>
      </c>
      <c r="E915" s="20"/>
      <c r="F915" s="222"/>
    </row>
    <row r="916" spans="4:6">
      <c r="D916" s="283">
        <v>3171</v>
      </c>
      <c r="E916" s="20"/>
      <c r="F916" s="222"/>
    </row>
    <row r="917" spans="4:6">
      <c r="D917" s="283">
        <v>3176</v>
      </c>
      <c r="E917" s="20"/>
      <c r="F917" s="222"/>
    </row>
    <row r="918" spans="4:6">
      <c r="D918" s="283">
        <v>3188</v>
      </c>
      <c r="E918" s="20"/>
      <c r="F918" s="222"/>
    </row>
    <row r="919" spans="4:6">
      <c r="D919" s="283">
        <v>3191</v>
      </c>
      <c r="E919" s="20"/>
      <c r="F919" s="222"/>
    </row>
    <row r="920" spans="4:6">
      <c r="D920" s="283">
        <v>3202</v>
      </c>
      <c r="E920" s="20"/>
      <c r="F920" s="222"/>
    </row>
    <row r="921" spans="4:6">
      <c r="D921" s="283">
        <v>3205</v>
      </c>
      <c r="E921" s="20"/>
      <c r="F921" s="222"/>
    </row>
    <row r="922" spans="4:6">
      <c r="D922" s="283">
        <v>3206</v>
      </c>
      <c r="E922" s="20"/>
      <c r="F922" s="222"/>
    </row>
    <row r="923" spans="4:6">
      <c r="D923" s="283">
        <v>3207</v>
      </c>
      <c r="E923" s="20"/>
      <c r="F923" s="222"/>
    </row>
    <row r="924" spans="4:6">
      <c r="D924" s="283">
        <v>3211</v>
      </c>
      <c r="E924" s="20"/>
      <c r="F924" s="222"/>
    </row>
    <row r="925" spans="4:6">
      <c r="D925" s="283">
        <v>3213</v>
      </c>
      <c r="E925" s="20"/>
      <c r="F925" s="222"/>
    </row>
    <row r="926" spans="4:6">
      <c r="D926" s="283">
        <v>3217</v>
      </c>
      <c r="E926" s="20"/>
      <c r="F926" s="222"/>
    </row>
    <row r="927" spans="4:6">
      <c r="D927" s="283">
        <v>3218</v>
      </c>
      <c r="E927" s="20"/>
      <c r="F927" s="222"/>
    </row>
    <row r="928" spans="4:6">
      <c r="D928" s="283">
        <v>3219</v>
      </c>
      <c r="E928" s="20"/>
      <c r="F928" s="222"/>
    </row>
    <row r="929" spans="4:6">
      <c r="D929" s="283">
        <v>3221</v>
      </c>
      <c r="E929" s="20"/>
      <c r="F929" s="222"/>
    </row>
    <row r="930" spans="4:6">
      <c r="D930" s="283">
        <v>3224</v>
      </c>
      <c r="E930" s="20"/>
      <c r="F930" s="222"/>
    </row>
    <row r="931" spans="4:6">
      <c r="D931" s="283">
        <v>3226</v>
      </c>
      <c r="E931" s="20"/>
      <c r="F931" s="222"/>
    </row>
    <row r="932" spans="4:6">
      <c r="D932" s="283">
        <v>3227</v>
      </c>
      <c r="E932" s="20"/>
      <c r="F932" s="222"/>
    </row>
    <row r="933" spans="4:6">
      <c r="D933" s="283">
        <v>3228</v>
      </c>
      <c r="E933" s="20"/>
      <c r="F933" s="222"/>
    </row>
    <row r="934" spans="4:6">
      <c r="D934" s="283">
        <v>3230</v>
      </c>
      <c r="E934" s="20"/>
      <c r="F934" s="222"/>
    </row>
    <row r="935" spans="4:6">
      <c r="D935" s="283">
        <v>3232</v>
      </c>
      <c r="E935" s="20"/>
      <c r="F935" s="222"/>
    </row>
    <row r="936" spans="4:6">
      <c r="D936" s="283">
        <v>3234</v>
      </c>
      <c r="E936" s="20"/>
      <c r="F936" s="222"/>
    </row>
    <row r="937" spans="4:6">
      <c r="D937" s="283">
        <v>3236</v>
      </c>
      <c r="E937" s="20"/>
      <c r="F937" s="222"/>
    </row>
    <row r="938" spans="4:6">
      <c r="D938" s="283">
        <v>3252</v>
      </c>
      <c r="E938" s="20"/>
      <c r="F938" s="222"/>
    </row>
    <row r="939" spans="4:6">
      <c r="D939" s="283">
        <v>3259</v>
      </c>
      <c r="E939" s="20"/>
      <c r="F939" s="222"/>
    </row>
    <row r="940" spans="4:6">
      <c r="D940" s="283">
        <v>3260</v>
      </c>
      <c r="E940" s="20"/>
      <c r="F940" s="222"/>
    </row>
    <row r="941" spans="4:6">
      <c r="D941" s="283">
        <v>3264</v>
      </c>
      <c r="E941" s="20"/>
      <c r="F941" s="222"/>
    </row>
    <row r="942" spans="4:6">
      <c r="D942" s="283">
        <v>3265</v>
      </c>
      <c r="E942" s="20"/>
      <c r="F942" s="222"/>
    </row>
    <row r="943" spans="4:6">
      <c r="D943" s="283">
        <v>3268</v>
      </c>
      <c r="E943" s="20"/>
      <c r="F943" s="222"/>
    </row>
    <row r="944" spans="4:6">
      <c r="D944" s="283">
        <v>3272</v>
      </c>
      <c r="E944" s="20"/>
      <c r="F944" s="222"/>
    </row>
    <row r="945" spans="4:6">
      <c r="D945" s="283">
        <v>3276</v>
      </c>
      <c r="E945" s="20"/>
      <c r="F945" s="222"/>
    </row>
    <row r="946" spans="4:6">
      <c r="D946" s="283">
        <v>3284</v>
      </c>
      <c r="E946" s="20"/>
      <c r="F946" s="222"/>
    </row>
    <row r="947" spans="4:6">
      <c r="D947" s="283">
        <v>3285</v>
      </c>
      <c r="E947" s="20"/>
      <c r="F947" s="222"/>
    </row>
    <row r="948" spans="4:6">
      <c r="D948" s="283">
        <v>3287</v>
      </c>
      <c r="E948" s="20"/>
      <c r="F948" s="222"/>
    </row>
    <row r="949" spans="4:6">
      <c r="D949" s="283">
        <v>3288</v>
      </c>
      <c r="E949" s="20"/>
      <c r="F949" s="222"/>
    </row>
    <row r="950" spans="4:6">
      <c r="D950" s="283">
        <v>3289</v>
      </c>
      <c r="E950" s="20"/>
      <c r="F950" s="222"/>
    </row>
    <row r="951" spans="4:6">
      <c r="D951" s="283">
        <v>3290</v>
      </c>
      <c r="E951" s="20"/>
      <c r="F951" s="222"/>
    </row>
    <row r="952" spans="4:6">
      <c r="D952" s="283">
        <v>3291</v>
      </c>
      <c r="E952" s="20"/>
      <c r="F952" s="222"/>
    </row>
    <row r="953" spans="4:6">
      <c r="D953" s="283">
        <v>3293</v>
      </c>
      <c r="E953" s="20"/>
      <c r="F953" s="222"/>
    </row>
    <row r="954" spans="4:6">
      <c r="D954" s="283">
        <v>3294</v>
      </c>
      <c r="E954" s="20"/>
      <c r="F954" s="222"/>
    </row>
    <row r="955" spans="4:6">
      <c r="D955" s="283">
        <v>3297</v>
      </c>
      <c r="E955" s="20"/>
      <c r="F955" s="222"/>
    </row>
    <row r="956" spans="4:6">
      <c r="D956" s="283">
        <v>3299</v>
      </c>
      <c r="E956" s="20"/>
      <c r="F956" s="222"/>
    </row>
    <row r="957" spans="4:6">
      <c r="D957" s="283">
        <v>3303</v>
      </c>
      <c r="E957" s="20"/>
      <c r="F957" s="222"/>
    </row>
    <row r="958" spans="4:6">
      <c r="D958" s="283">
        <v>3306</v>
      </c>
      <c r="E958" s="20"/>
      <c r="F958" s="222"/>
    </row>
    <row r="959" spans="4:6">
      <c r="D959" s="283">
        <v>3310</v>
      </c>
      <c r="E959" s="20"/>
      <c r="F959" s="222"/>
    </row>
    <row r="960" spans="4:6">
      <c r="D960" s="283">
        <v>3313</v>
      </c>
      <c r="E960" s="20"/>
      <c r="F960" s="222"/>
    </row>
    <row r="961" spans="4:6">
      <c r="D961" s="283">
        <v>3317</v>
      </c>
      <c r="E961" s="20"/>
      <c r="F961" s="222"/>
    </row>
    <row r="962" spans="4:6">
      <c r="D962" s="283">
        <v>3322</v>
      </c>
      <c r="E962" s="20"/>
      <c r="F962" s="222"/>
    </row>
    <row r="963" spans="4:6">
      <c r="D963" s="283">
        <v>3323</v>
      </c>
      <c r="E963" s="20"/>
      <c r="F963" s="222"/>
    </row>
    <row r="964" spans="4:6">
      <c r="D964" s="283">
        <v>3324</v>
      </c>
      <c r="E964" s="20"/>
      <c r="F964" s="222"/>
    </row>
    <row r="965" spans="4:6">
      <c r="D965" s="283">
        <v>3325</v>
      </c>
      <c r="E965" s="20"/>
      <c r="F965" s="222"/>
    </row>
    <row r="966" spans="4:6">
      <c r="D966" s="283">
        <v>3332</v>
      </c>
      <c r="E966" s="20"/>
      <c r="F966" s="222"/>
    </row>
    <row r="967" spans="4:6">
      <c r="D967" s="283">
        <v>3339</v>
      </c>
      <c r="E967" s="20"/>
      <c r="F967" s="222"/>
    </row>
    <row r="968" spans="4:6">
      <c r="D968" s="283">
        <v>3354</v>
      </c>
      <c r="E968" s="20"/>
      <c r="F968" s="222"/>
    </row>
    <row r="969" spans="4:6">
      <c r="D969" s="283">
        <v>3360</v>
      </c>
      <c r="E969" s="20"/>
      <c r="F969" s="222"/>
    </row>
    <row r="970" spans="4:6">
      <c r="D970" s="283">
        <v>3362</v>
      </c>
      <c r="E970" s="20"/>
      <c r="F970" s="222"/>
    </row>
    <row r="971" spans="4:6">
      <c r="D971" s="283">
        <v>3363</v>
      </c>
      <c r="E971" s="20"/>
      <c r="F971" s="222"/>
    </row>
    <row r="972" spans="4:6">
      <c r="D972" s="283">
        <v>3372</v>
      </c>
      <c r="E972" s="20"/>
      <c r="F972" s="222"/>
    </row>
    <row r="973" spans="4:6">
      <c r="D973" s="283">
        <v>3373</v>
      </c>
      <c r="E973" s="20"/>
      <c r="F973" s="222"/>
    </row>
    <row r="974" spans="4:6">
      <c r="D974" s="283">
        <v>3374</v>
      </c>
      <c r="E974" s="20"/>
      <c r="F974" s="222"/>
    </row>
    <row r="975" spans="4:6">
      <c r="D975" s="283">
        <v>3379</v>
      </c>
      <c r="E975" s="20"/>
      <c r="F975" s="222"/>
    </row>
    <row r="976" spans="4:6">
      <c r="D976" s="283">
        <v>3388</v>
      </c>
      <c r="E976" s="20"/>
      <c r="F976" s="222"/>
    </row>
    <row r="977" spans="4:6">
      <c r="D977" s="283">
        <v>3390</v>
      </c>
      <c r="E977" s="20"/>
      <c r="F977" s="222"/>
    </row>
    <row r="978" spans="4:6">
      <c r="D978" s="283">
        <v>3402</v>
      </c>
      <c r="E978" s="20"/>
      <c r="F978" s="222"/>
    </row>
    <row r="979" spans="4:6">
      <c r="D979" s="283">
        <v>3428</v>
      </c>
      <c r="E979" s="20"/>
      <c r="F979" s="222"/>
    </row>
    <row r="980" spans="4:6">
      <c r="D980" s="283">
        <v>3431</v>
      </c>
      <c r="E980" s="20"/>
      <c r="F980" s="222"/>
    </row>
    <row r="981" spans="4:6">
      <c r="D981" s="283">
        <v>3434</v>
      </c>
      <c r="E981" s="20"/>
      <c r="F981" s="222"/>
    </row>
    <row r="982" spans="4:6">
      <c r="D982" s="283">
        <v>3438</v>
      </c>
      <c r="E982" s="20"/>
      <c r="F982" s="222"/>
    </row>
    <row r="983" spans="4:6">
      <c r="D983" s="283">
        <v>3441</v>
      </c>
      <c r="E983" s="20"/>
      <c r="F983" s="222"/>
    </row>
    <row r="984" spans="4:6">
      <c r="D984" s="283">
        <v>3444</v>
      </c>
      <c r="E984" s="20"/>
      <c r="F984" s="222"/>
    </row>
    <row r="985" spans="4:6">
      <c r="D985" s="283">
        <v>3452</v>
      </c>
      <c r="E985" s="20"/>
      <c r="F985" s="222"/>
    </row>
    <row r="986" spans="4:6">
      <c r="D986" s="283">
        <v>3455</v>
      </c>
      <c r="E986" s="20"/>
      <c r="F986" s="222"/>
    </row>
    <row r="987" spans="4:6">
      <c r="D987" s="283">
        <v>3465</v>
      </c>
      <c r="E987" s="20"/>
      <c r="F987" s="222"/>
    </row>
    <row r="988" spans="4:6">
      <c r="D988" s="283">
        <v>3466</v>
      </c>
      <c r="E988" s="20"/>
      <c r="F988" s="222"/>
    </row>
    <row r="989" spans="4:6">
      <c r="D989" s="283">
        <v>3479</v>
      </c>
      <c r="E989" s="20"/>
      <c r="F989" s="222"/>
    </row>
    <row r="990" spans="4:6">
      <c r="D990" s="283">
        <v>3483</v>
      </c>
      <c r="E990" s="20"/>
      <c r="F990" s="222"/>
    </row>
    <row r="991" spans="4:6">
      <c r="D991" s="283">
        <v>3484</v>
      </c>
      <c r="E991" s="20"/>
      <c r="F991" s="222"/>
    </row>
    <row r="992" spans="4:6">
      <c r="D992" s="283">
        <v>3489</v>
      </c>
      <c r="E992" s="20"/>
      <c r="F992" s="222"/>
    </row>
    <row r="993" spans="4:6">
      <c r="D993" s="283">
        <v>3490</v>
      </c>
      <c r="E993" s="20"/>
      <c r="F993" s="222"/>
    </row>
    <row r="994" spans="4:6">
      <c r="D994" s="283">
        <v>3491</v>
      </c>
      <c r="E994" s="20"/>
      <c r="F994" s="222"/>
    </row>
    <row r="995" spans="4:6">
      <c r="D995" s="283">
        <v>3492</v>
      </c>
      <c r="E995" s="20"/>
      <c r="F995" s="222"/>
    </row>
    <row r="996" spans="4:6">
      <c r="D996" s="283">
        <v>3498</v>
      </c>
      <c r="E996" s="20"/>
      <c r="F996" s="222"/>
    </row>
    <row r="997" spans="4:6">
      <c r="D997" s="283">
        <v>3499</v>
      </c>
      <c r="E997" s="20"/>
      <c r="F997" s="222"/>
    </row>
    <row r="998" spans="4:6">
      <c r="D998" s="283">
        <v>3508</v>
      </c>
      <c r="E998" s="20"/>
      <c r="F998" s="222"/>
    </row>
    <row r="999" spans="4:6">
      <c r="D999" s="283">
        <v>3511</v>
      </c>
      <c r="E999" s="20"/>
      <c r="F999" s="222"/>
    </row>
    <row r="1000" spans="4:6">
      <c r="D1000" s="283">
        <v>3512</v>
      </c>
      <c r="E1000" s="20"/>
      <c r="F1000" s="222"/>
    </row>
    <row r="1001" spans="4:6">
      <c r="D1001" s="283">
        <v>3516</v>
      </c>
      <c r="E1001" s="20"/>
      <c r="F1001" s="222"/>
    </row>
    <row r="1002" spans="4:6">
      <c r="D1002" s="283">
        <v>3520</v>
      </c>
      <c r="E1002" s="20"/>
      <c r="F1002" s="222"/>
    </row>
    <row r="1003" spans="4:6">
      <c r="D1003" s="283">
        <v>3521</v>
      </c>
      <c r="E1003" s="20"/>
      <c r="F1003" s="222"/>
    </row>
    <row r="1004" spans="4:6">
      <c r="D1004" s="283">
        <v>3522</v>
      </c>
      <c r="E1004" s="20"/>
      <c r="F1004" s="222"/>
    </row>
    <row r="1005" spans="4:6">
      <c r="D1005" s="283">
        <v>3523</v>
      </c>
      <c r="E1005" s="20"/>
      <c r="F1005" s="222"/>
    </row>
    <row r="1006" spans="4:6">
      <c r="D1006" s="283">
        <v>3526</v>
      </c>
      <c r="E1006" s="20"/>
      <c r="F1006" s="222"/>
    </row>
    <row r="1007" spans="4:6">
      <c r="D1007" s="283">
        <v>3527</v>
      </c>
      <c r="E1007" s="20"/>
      <c r="F1007" s="222"/>
    </row>
    <row r="1008" spans="4:6">
      <c r="D1008" s="283">
        <v>3528</v>
      </c>
      <c r="E1008" s="20"/>
      <c r="F1008" s="222"/>
    </row>
    <row r="1009" spans="4:6">
      <c r="D1009" s="283">
        <v>3529</v>
      </c>
      <c r="E1009" s="20"/>
      <c r="F1009" s="222"/>
    </row>
    <row r="1010" spans="4:6">
      <c r="D1010" s="283">
        <v>3531</v>
      </c>
      <c r="E1010" s="20"/>
      <c r="F1010" s="222"/>
    </row>
    <row r="1011" spans="4:6">
      <c r="D1011" s="283">
        <v>3537</v>
      </c>
      <c r="E1011" s="20"/>
      <c r="F1011" s="222"/>
    </row>
    <row r="1012" spans="4:6">
      <c r="D1012" s="283">
        <v>3540</v>
      </c>
      <c r="E1012" s="20"/>
      <c r="F1012" s="222"/>
    </row>
    <row r="1013" spans="4:6">
      <c r="D1013" s="283">
        <v>3541</v>
      </c>
      <c r="E1013" s="20"/>
      <c r="F1013" s="222"/>
    </row>
    <row r="1014" spans="4:6">
      <c r="D1014" s="283">
        <v>3546</v>
      </c>
      <c r="E1014" s="20"/>
      <c r="F1014" s="222"/>
    </row>
    <row r="1015" spans="4:6">
      <c r="D1015" s="283">
        <v>3548</v>
      </c>
      <c r="E1015" s="20"/>
      <c r="F1015" s="222"/>
    </row>
    <row r="1016" spans="4:6">
      <c r="D1016" s="283">
        <v>3551</v>
      </c>
      <c r="E1016" s="20"/>
      <c r="F1016" s="222"/>
    </row>
    <row r="1017" spans="4:6">
      <c r="D1017" s="283">
        <v>3552</v>
      </c>
      <c r="E1017" s="20"/>
      <c r="F1017" s="222"/>
    </row>
    <row r="1018" spans="4:6">
      <c r="D1018" s="283">
        <v>3553</v>
      </c>
      <c r="E1018" s="20"/>
      <c r="F1018" s="222"/>
    </row>
    <row r="1019" spans="4:6">
      <c r="D1019" s="283">
        <v>3555</v>
      </c>
      <c r="E1019" s="20"/>
      <c r="F1019" s="222"/>
    </row>
    <row r="1020" spans="4:6">
      <c r="D1020" s="283">
        <v>3556</v>
      </c>
      <c r="E1020" s="20"/>
      <c r="F1020" s="222"/>
    </row>
    <row r="1021" spans="4:6">
      <c r="D1021" s="283">
        <v>3558</v>
      </c>
      <c r="E1021" s="20"/>
      <c r="F1021" s="222"/>
    </row>
    <row r="1022" spans="4:6">
      <c r="D1022" s="283">
        <v>3562</v>
      </c>
      <c r="E1022" s="20"/>
      <c r="F1022" s="222"/>
    </row>
    <row r="1023" spans="4:6">
      <c r="D1023" s="283">
        <v>3563</v>
      </c>
      <c r="E1023" s="20"/>
      <c r="F1023" s="222"/>
    </row>
    <row r="1024" spans="4:6">
      <c r="D1024" s="283">
        <v>3564</v>
      </c>
      <c r="E1024" s="20"/>
      <c r="F1024" s="222"/>
    </row>
    <row r="1025" spans="4:6">
      <c r="D1025" s="283">
        <v>3567</v>
      </c>
      <c r="E1025" s="20"/>
      <c r="F1025" s="222"/>
    </row>
    <row r="1026" spans="4:6">
      <c r="D1026" s="283">
        <v>3570</v>
      </c>
      <c r="E1026" s="20"/>
      <c r="F1026" s="222"/>
    </row>
    <row r="1027" spans="4:6">
      <c r="D1027" s="283">
        <v>3577</v>
      </c>
      <c r="E1027" s="20"/>
      <c r="F1027" s="222"/>
    </row>
    <row r="1028" spans="4:6">
      <c r="D1028" s="283">
        <v>3580</v>
      </c>
      <c r="E1028" s="20"/>
      <c r="F1028" s="222"/>
    </row>
    <row r="1029" spans="4:6">
      <c r="D1029" s="283">
        <v>3581</v>
      </c>
      <c r="E1029" s="20"/>
      <c r="F1029" s="222"/>
    </row>
    <row r="1030" spans="4:6">
      <c r="D1030" s="283">
        <v>3587</v>
      </c>
      <c r="E1030" s="20"/>
      <c r="F1030" s="222"/>
    </row>
    <row r="1031" spans="4:6">
      <c r="D1031" s="283">
        <v>3594</v>
      </c>
      <c r="E1031" s="20"/>
      <c r="F1031" s="222"/>
    </row>
    <row r="1032" spans="4:6">
      <c r="D1032" s="283">
        <v>3609</v>
      </c>
      <c r="E1032" s="20"/>
      <c r="F1032" s="222"/>
    </row>
    <row r="1033" spans="4:6">
      <c r="D1033" s="283">
        <v>3611</v>
      </c>
      <c r="E1033" s="20"/>
      <c r="F1033" s="222"/>
    </row>
    <row r="1034" spans="4:6">
      <c r="D1034" s="283">
        <v>3615</v>
      </c>
      <c r="E1034" s="20"/>
      <c r="F1034" s="222"/>
    </row>
    <row r="1035" spans="4:6">
      <c r="D1035" s="283">
        <v>3623</v>
      </c>
      <c r="E1035" s="20"/>
      <c r="F1035" s="222"/>
    </row>
    <row r="1036" spans="4:6">
      <c r="D1036" s="283">
        <v>3624</v>
      </c>
      <c r="E1036" s="20"/>
      <c r="F1036" s="222"/>
    </row>
    <row r="1037" spans="4:6">
      <c r="D1037" s="283">
        <v>3625</v>
      </c>
      <c r="E1037" s="20"/>
      <c r="F1037" s="222"/>
    </row>
    <row r="1038" spans="4:6">
      <c r="D1038" s="283">
        <v>3628</v>
      </c>
      <c r="E1038" s="20"/>
      <c r="F1038" s="222"/>
    </row>
    <row r="1039" spans="4:6">
      <c r="D1039" s="283">
        <v>3629</v>
      </c>
      <c r="E1039" s="20"/>
      <c r="F1039" s="222"/>
    </row>
    <row r="1040" spans="4:6">
      <c r="D1040" s="283">
        <v>3630</v>
      </c>
      <c r="E1040" s="20"/>
      <c r="F1040" s="222"/>
    </row>
    <row r="1041" spans="4:6">
      <c r="D1041" s="283">
        <v>3631</v>
      </c>
      <c r="E1041" s="20"/>
      <c r="F1041" s="222"/>
    </row>
    <row r="1042" spans="4:6">
      <c r="D1042" s="283">
        <v>3632</v>
      </c>
      <c r="E1042" s="20"/>
      <c r="F1042" s="222"/>
    </row>
    <row r="1043" spans="4:6">
      <c r="D1043" s="283">
        <v>3642</v>
      </c>
      <c r="E1043" s="20"/>
      <c r="F1043" s="222"/>
    </row>
    <row r="1044" spans="4:6">
      <c r="D1044" s="283">
        <v>3646</v>
      </c>
      <c r="E1044" s="20"/>
      <c r="F1044" s="222"/>
    </row>
    <row r="1045" spans="4:6">
      <c r="D1045" s="283">
        <v>3652</v>
      </c>
      <c r="E1045" s="20"/>
      <c r="F1045" s="222"/>
    </row>
    <row r="1046" spans="4:6">
      <c r="D1046" s="283">
        <v>3658</v>
      </c>
      <c r="E1046" s="20"/>
      <c r="F1046" s="222"/>
    </row>
    <row r="1047" spans="4:6">
      <c r="D1047" s="283">
        <v>3662</v>
      </c>
      <c r="E1047" s="20"/>
      <c r="F1047" s="222"/>
    </row>
    <row r="1048" spans="4:6">
      <c r="D1048" s="283">
        <v>3663</v>
      </c>
      <c r="E1048" s="20"/>
      <c r="F1048" s="222"/>
    </row>
    <row r="1049" spans="4:6">
      <c r="D1049" s="283">
        <v>3664</v>
      </c>
      <c r="E1049" s="20"/>
      <c r="F1049" s="222"/>
    </row>
    <row r="1050" spans="4:6">
      <c r="D1050" s="283">
        <v>3666</v>
      </c>
      <c r="E1050" s="20"/>
      <c r="F1050" s="222"/>
    </row>
    <row r="1051" spans="4:6">
      <c r="D1051" s="283">
        <v>3672</v>
      </c>
      <c r="E1051" s="20"/>
      <c r="F1051" s="222"/>
    </row>
    <row r="1052" spans="4:6">
      <c r="D1052" s="283">
        <v>3675</v>
      </c>
      <c r="E1052" s="20"/>
      <c r="F1052" s="222"/>
    </row>
    <row r="1053" spans="4:6">
      <c r="D1053" s="283">
        <v>3680</v>
      </c>
      <c r="E1053" s="20"/>
      <c r="F1053" s="222"/>
    </row>
    <row r="1054" spans="4:6">
      <c r="D1054" s="283">
        <v>3684</v>
      </c>
      <c r="E1054" s="20"/>
      <c r="F1054" s="222"/>
    </row>
    <row r="1055" spans="4:6">
      <c r="D1055" s="283">
        <v>3685</v>
      </c>
      <c r="E1055" s="20"/>
      <c r="F1055" s="222"/>
    </row>
    <row r="1056" spans="4:6">
      <c r="D1056" s="283">
        <v>3687</v>
      </c>
      <c r="E1056" s="20"/>
      <c r="F1056" s="222"/>
    </row>
    <row r="1057" spans="4:6">
      <c r="D1057" s="283">
        <v>3689</v>
      </c>
      <c r="E1057" s="20"/>
      <c r="F1057" s="222"/>
    </row>
    <row r="1058" spans="4:6">
      <c r="D1058" s="283">
        <v>3691</v>
      </c>
      <c r="E1058" s="20"/>
      <c r="F1058" s="222"/>
    </row>
    <row r="1059" spans="4:6">
      <c r="D1059" s="283">
        <v>3693</v>
      </c>
      <c r="E1059" s="20"/>
      <c r="F1059" s="222"/>
    </row>
    <row r="1060" spans="4:6">
      <c r="D1060" s="283">
        <v>3707</v>
      </c>
      <c r="E1060" s="20"/>
      <c r="F1060" s="222"/>
    </row>
    <row r="1061" spans="4:6">
      <c r="D1061" s="283">
        <v>4102</v>
      </c>
      <c r="E1061" s="20"/>
      <c r="F1061" s="222"/>
    </row>
    <row r="1062" spans="4:6">
      <c r="D1062" s="283">
        <v>4103</v>
      </c>
      <c r="E1062" s="20"/>
      <c r="F1062" s="222"/>
    </row>
    <row r="1063" spans="4:6">
      <c r="D1063" s="283">
        <v>4105</v>
      </c>
      <c r="E1063" s="20"/>
      <c r="F1063" s="222"/>
    </row>
    <row r="1064" spans="4:6">
      <c r="D1064" s="283">
        <v>4107</v>
      </c>
      <c r="E1064" s="20"/>
      <c r="F1064" s="222"/>
    </row>
    <row r="1065" spans="4:6">
      <c r="D1065" s="283">
        <v>4109</v>
      </c>
      <c r="E1065" s="20"/>
      <c r="F1065" s="222"/>
    </row>
    <row r="1066" spans="4:6">
      <c r="D1066" s="283">
        <v>4111</v>
      </c>
      <c r="E1066" s="20"/>
      <c r="F1066" s="222"/>
    </row>
    <row r="1067" spans="4:6">
      <c r="D1067" s="283">
        <v>4113</v>
      </c>
      <c r="E1067" s="20"/>
      <c r="F1067" s="222"/>
    </row>
    <row r="1068" spans="4:6">
      <c r="D1068" s="283">
        <v>4114</v>
      </c>
      <c r="E1068" s="20"/>
      <c r="F1068" s="222"/>
    </row>
    <row r="1069" spans="4:6">
      <c r="D1069" s="283">
        <v>4120</v>
      </c>
      <c r="E1069" s="20"/>
      <c r="F1069" s="222"/>
    </row>
    <row r="1070" spans="4:6">
      <c r="D1070" s="283">
        <v>4121</v>
      </c>
      <c r="E1070" s="20"/>
      <c r="F1070" s="222"/>
    </row>
    <row r="1071" spans="4:6">
      <c r="D1071" s="283">
        <v>4123</v>
      </c>
      <c r="E1071" s="20"/>
      <c r="F1071" s="222"/>
    </row>
    <row r="1072" spans="4:6">
      <c r="D1072" s="283">
        <v>4126</v>
      </c>
      <c r="E1072" s="20"/>
      <c r="F1072" s="222"/>
    </row>
    <row r="1073" spans="4:6">
      <c r="D1073" s="283">
        <v>4127</v>
      </c>
      <c r="E1073" s="20"/>
      <c r="F1073" s="222"/>
    </row>
    <row r="1074" spans="4:6">
      <c r="D1074" s="283">
        <v>4128</v>
      </c>
      <c r="E1074" s="20"/>
      <c r="F1074" s="222"/>
    </row>
    <row r="1075" spans="4:6">
      <c r="D1075" s="283">
        <v>4129</v>
      </c>
      <c r="E1075" s="20"/>
      <c r="F1075" s="222"/>
    </row>
    <row r="1076" spans="4:6">
      <c r="D1076" s="283">
        <v>4130</v>
      </c>
      <c r="E1076" s="20"/>
      <c r="F1076" s="222"/>
    </row>
    <row r="1077" spans="4:6">
      <c r="D1077" s="283">
        <v>4131</v>
      </c>
      <c r="E1077" s="20"/>
      <c r="F1077" s="222"/>
    </row>
    <row r="1078" spans="4:6">
      <c r="D1078" s="283">
        <v>4138</v>
      </c>
      <c r="E1078" s="20"/>
      <c r="F1078" s="222"/>
    </row>
    <row r="1079" spans="4:6">
      <c r="D1079" s="283">
        <v>4139</v>
      </c>
      <c r="E1079" s="20"/>
      <c r="F1079" s="222"/>
    </row>
    <row r="1080" spans="4:6">
      <c r="D1080" s="283">
        <v>4152</v>
      </c>
      <c r="E1080" s="20"/>
      <c r="F1080" s="222"/>
    </row>
    <row r="1081" spans="4:6">
      <c r="D1081" s="283">
        <v>4153</v>
      </c>
      <c r="E1081" s="20"/>
      <c r="F1081" s="222"/>
    </row>
    <row r="1082" spans="4:6">
      <c r="D1082" s="283">
        <v>4154</v>
      </c>
      <c r="E1082" s="20"/>
      <c r="F1082" s="222"/>
    </row>
    <row r="1083" spans="4:6">
      <c r="D1083" s="283">
        <v>4157</v>
      </c>
      <c r="E1083" s="20"/>
      <c r="F1083" s="222"/>
    </row>
    <row r="1084" spans="4:6">
      <c r="D1084" s="283">
        <v>4160</v>
      </c>
      <c r="E1084" s="20"/>
      <c r="F1084" s="222"/>
    </row>
    <row r="1085" spans="4:6">
      <c r="D1085" s="283">
        <v>4161</v>
      </c>
      <c r="E1085" s="20"/>
      <c r="F1085" s="222"/>
    </row>
    <row r="1086" spans="4:6">
      <c r="D1086" s="283">
        <v>4162</v>
      </c>
      <c r="E1086" s="20"/>
      <c r="F1086" s="222"/>
    </row>
    <row r="1087" spans="4:6">
      <c r="D1087" s="283">
        <v>4163</v>
      </c>
      <c r="E1087" s="20"/>
      <c r="F1087" s="222"/>
    </row>
    <row r="1088" spans="4:6">
      <c r="D1088" s="283">
        <v>4167</v>
      </c>
      <c r="E1088" s="20"/>
      <c r="F1088" s="222"/>
    </row>
    <row r="1089" spans="4:6">
      <c r="D1089" s="283">
        <v>4168</v>
      </c>
      <c r="E1089" s="20"/>
      <c r="F1089" s="222"/>
    </row>
    <row r="1090" spans="4:6">
      <c r="D1090" s="283">
        <v>4171</v>
      </c>
      <c r="E1090" s="20"/>
      <c r="F1090" s="222"/>
    </row>
    <row r="1091" spans="4:6">
      <c r="D1091" s="283">
        <v>4173</v>
      </c>
      <c r="E1091" s="20"/>
      <c r="F1091" s="222"/>
    </row>
    <row r="1092" spans="4:6">
      <c r="D1092" s="283">
        <v>4174</v>
      </c>
      <c r="E1092" s="20"/>
      <c r="F1092" s="222"/>
    </row>
    <row r="1093" spans="4:6">
      <c r="D1093" s="283">
        <v>4175</v>
      </c>
      <c r="E1093" s="20"/>
      <c r="F1093" s="222"/>
    </row>
    <row r="1094" spans="4:6">
      <c r="D1094" s="283">
        <v>4180</v>
      </c>
      <c r="E1094" s="20"/>
      <c r="F1094" s="222"/>
    </row>
    <row r="1095" spans="4:6">
      <c r="D1095" s="283">
        <v>4188</v>
      </c>
      <c r="E1095" s="20"/>
      <c r="F1095" s="222"/>
    </row>
    <row r="1096" spans="4:6">
      <c r="D1096" s="283">
        <v>4192</v>
      </c>
      <c r="E1096" s="20"/>
      <c r="F1096" s="222"/>
    </row>
    <row r="1097" spans="4:6">
      <c r="D1097" s="283">
        <v>4198</v>
      </c>
      <c r="E1097" s="20"/>
      <c r="F1097" s="222"/>
    </row>
    <row r="1098" spans="4:6">
      <c r="D1098" s="283">
        <v>4205</v>
      </c>
      <c r="E1098" s="20"/>
      <c r="F1098" s="222"/>
    </row>
    <row r="1099" spans="4:6">
      <c r="D1099" s="283">
        <v>4207</v>
      </c>
      <c r="E1099" s="20"/>
      <c r="F1099" s="222"/>
    </row>
    <row r="1100" spans="4:6">
      <c r="D1100" s="283">
        <v>4303</v>
      </c>
      <c r="E1100" s="20"/>
      <c r="F1100" s="222"/>
    </row>
    <row r="1101" spans="4:6">
      <c r="D1101" s="283">
        <v>4304</v>
      </c>
      <c r="E1101" s="20"/>
      <c r="F1101" s="222"/>
    </row>
    <row r="1102" spans="4:6">
      <c r="D1102" s="283">
        <v>4305</v>
      </c>
      <c r="E1102" s="20"/>
      <c r="F1102" s="222"/>
    </row>
    <row r="1103" spans="4:6">
      <c r="D1103" s="283">
        <v>4401</v>
      </c>
      <c r="E1103" s="20"/>
      <c r="F1103" s="222"/>
    </row>
    <row r="1104" spans="4:6">
      <c r="D1104" s="283">
        <v>4402</v>
      </c>
      <c r="E1104" s="20"/>
      <c r="F1104" s="222"/>
    </row>
    <row r="1105" spans="4:6">
      <c r="D1105" s="283">
        <v>4406</v>
      </c>
      <c r="E1105" s="20"/>
      <c r="F1105" s="222"/>
    </row>
    <row r="1106" spans="4:6">
      <c r="D1106" s="283">
        <v>4413</v>
      </c>
      <c r="E1106" s="20"/>
      <c r="F1106" s="222"/>
    </row>
    <row r="1107" spans="4:6">
      <c r="D1107" s="283">
        <v>4415</v>
      </c>
      <c r="E1107" s="20"/>
      <c r="F1107" s="222"/>
    </row>
    <row r="1108" spans="4:6">
      <c r="D1108" s="283">
        <v>4416</v>
      </c>
      <c r="E1108" s="20"/>
      <c r="F1108" s="222"/>
    </row>
    <row r="1109" spans="4:6">
      <c r="D1109" s="283">
        <v>4417</v>
      </c>
      <c r="E1109" s="20"/>
      <c r="F1109" s="222"/>
    </row>
    <row r="1110" spans="4:6">
      <c r="D1110" s="283">
        <v>4419</v>
      </c>
      <c r="E1110" s="20"/>
      <c r="F1110" s="222"/>
    </row>
    <row r="1111" spans="4:6">
      <c r="D1111" s="283">
        <v>4420</v>
      </c>
      <c r="E1111" s="20"/>
      <c r="F1111" s="222"/>
    </row>
    <row r="1112" spans="4:6">
      <c r="D1112" s="283">
        <v>4429</v>
      </c>
      <c r="E1112" s="20"/>
      <c r="F1112" s="222"/>
    </row>
    <row r="1113" spans="4:6">
      <c r="D1113" s="283">
        <v>4430</v>
      </c>
      <c r="E1113" s="20"/>
      <c r="F1113" s="222"/>
    </row>
    <row r="1114" spans="4:6">
      <c r="D1114" s="283">
        <v>4432</v>
      </c>
      <c r="E1114" s="20"/>
      <c r="F1114" s="222"/>
    </row>
    <row r="1115" spans="4:6">
      <c r="D1115" s="283">
        <v>4433</v>
      </c>
      <c r="E1115" s="20"/>
      <c r="F1115" s="222"/>
    </row>
    <row r="1116" spans="4:6">
      <c r="D1116" s="283">
        <v>4502</v>
      </c>
      <c r="E1116" s="20"/>
      <c r="F1116" s="222"/>
    </row>
    <row r="1117" spans="4:6">
      <c r="D1117" s="283">
        <v>4503</v>
      </c>
      <c r="E1117" s="20"/>
      <c r="F1117" s="222"/>
    </row>
    <row r="1118" spans="4:6">
      <c r="D1118" s="283">
        <v>4506</v>
      </c>
      <c r="E1118" s="20"/>
      <c r="F1118" s="222"/>
    </row>
    <row r="1119" spans="4:6">
      <c r="D1119" s="283">
        <v>4510</v>
      </c>
      <c r="E1119" s="20"/>
      <c r="F1119" s="222"/>
    </row>
    <row r="1120" spans="4:6">
      <c r="D1120" s="283">
        <v>4513</v>
      </c>
      <c r="E1120" s="20"/>
      <c r="F1120" s="222"/>
    </row>
    <row r="1121" spans="4:6">
      <c r="D1121" s="283">
        <v>4523</v>
      </c>
      <c r="E1121" s="20"/>
      <c r="F1121" s="222"/>
    </row>
    <row r="1122" spans="4:6">
      <c r="D1122" s="283">
        <v>4527</v>
      </c>
      <c r="E1122" s="20"/>
      <c r="F1122" s="222"/>
    </row>
    <row r="1123" spans="4:6">
      <c r="D1123" s="283">
        <v>4528</v>
      </c>
      <c r="E1123" s="20"/>
      <c r="F1123" s="222"/>
    </row>
    <row r="1124" spans="4:6">
      <c r="D1124" s="283">
        <v>4529</v>
      </c>
      <c r="E1124" s="20"/>
      <c r="F1124" s="222"/>
    </row>
    <row r="1125" spans="4:6">
      <c r="D1125" s="283">
        <v>4530</v>
      </c>
      <c r="E1125" s="20"/>
      <c r="F1125" s="222"/>
    </row>
    <row r="1126" spans="4:6">
      <c r="D1126" s="283">
        <v>4533</v>
      </c>
      <c r="E1126" s="20"/>
      <c r="F1126" s="222"/>
    </row>
    <row r="1127" spans="4:6">
      <c r="D1127" s="283">
        <v>4534</v>
      </c>
      <c r="E1127" s="20"/>
      <c r="F1127" s="222"/>
    </row>
    <row r="1128" spans="4:6">
      <c r="D1128" s="283">
        <v>4535</v>
      </c>
      <c r="E1128" s="20"/>
      <c r="F1128" s="222"/>
    </row>
    <row r="1129" spans="4:6">
      <c r="D1129" s="283">
        <v>4541</v>
      </c>
      <c r="E1129" s="20"/>
      <c r="F1129" s="222"/>
    </row>
    <row r="1130" spans="4:6">
      <c r="D1130" s="283">
        <v>4542</v>
      </c>
      <c r="E1130" s="20"/>
      <c r="F1130" s="222"/>
    </row>
    <row r="1131" spans="4:6">
      <c r="D1131" s="283">
        <v>4549</v>
      </c>
      <c r="E1131" s="20"/>
      <c r="F1131" s="222"/>
    </row>
    <row r="1132" spans="4:6">
      <c r="D1132" s="283">
        <v>4550</v>
      </c>
      <c r="E1132" s="20"/>
      <c r="F1132" s="222"/>
    </row>
    <row r="1133" spans="4:6">
      <c r="D1133" s="283">
        <v>4609</v>
      </c>
      <c r="E1133" s="20"/>
      <c r="F1133" s="222"/>
    </row>
    <row r="1134" spans="4:6">
      <c r="D1134" s="283">
        <v>4702</v>
      </c>
      <c r="E1134" s="20"/>
      <c r="F1134" s="222"/>
    </row>
    <row r="1135" spans="4:6">
      <c r="D1135" s="283">
        <v>4706</v>
      </c>
      <c r="E1135" s="20"/>
      <c r="F1135" s="222"/>
    </row>
    <row r="1136" spans="4:6">
      <c r="D1136" s="283">
        <v>4711</v>
      </c>
      <c r="E1136" s="20"/>
      <c r="F1136" s="222"/>
    </row>
    <row r="1137" spans="4:6">
      <c r="D1137" s="283">
        <v>4712</v>
      </c>
      <c r="E1137" s="20"/>
      <c r="F1137" s="222"/>
    </row>
    <row r="1138" spans="4:6">
      <c r="D1138" s="283">
        <v>4714</v>
      </c>
      <c r="E1138" s="20"/>
      <c r="F1138" s="222"/>
    </row>
    <row r="1139" spans="4:6">
      <c r="D1139" s="283">
        <v>4716</v>
      </c>
      <c r="E1139" s="20"/>
      <c r="F1139" s="222"/>
    </row>
    <row r="1140" spans="4:6">
      <c r="D1140" s="283">
        <v>4721</v>
      </c>
      <c r="E1140" s="20"/>
      <c r="F1140" s="222"/>
    </row>
    <row r="1141" spans="4:6">
      <c r="D1141" s="283">
        <v>4726</v>
      </c>
      <c r="E1141" s="20"/>
      <c r="F1141" s="222"/>
    </row>
    <row r="1142" spans="4:6">
      <c r="D1142" s="283">
        <v>4728</v>
      </c>
      <c r="E1142" s="20"/>
      <c r="F1142" s="222"/>
    </row>
    <row r="1143" spans="4:6">
      <c r="D1143" s="283">
        <v>4729</v>
      </c>
      <c r="E1143" s="20"/>
      <c r="F1143" s="222"/>
    </row>
    <row r="1144" spans="4:6">
      <c r="D1144" s="283">
        <v>4735</v>
      </c>
      <c r="E1144" s="20"/>
      <c r="F1144" s="222"/>
    </row>
    <row r="1145" spans="4:6">
      <c r="D1145" s="283">
        <v>4736</v>
      </c>
      <c r="E1145" s="20"/>
      <c r="F1145" s="222"/>
    </row>
    <row r="1146" spans="4:6">
      <c r="D1146" s="283">
        <v>4739</v>
      </c>
      <c r="E1146" s="20"/>
      <c r="F1146" s="222"/>
    </row>
    <row r="1147" spans="4:6">
      <c r="D1147" s="283">
        <v>4743</v>
      </c>
      <c r="E1147" s="20"/>
      <c r="F1147" s="222"/>
    </row>
    <row r="1148" spans="4:6">
      <c r="D1148" s="283">
        <v>4745</v>
      </c>
      <c r="E1148" s="20"/>
      <c r="F1148" s="222"/>
    </row>
    <row r="1149" spans="4:6">
      <c r="D1149" s="283">
        <v>4747</v>
      </c>
      <c r="E1149" s="20"/>
      <c r="F1149" s="222"/>
    </row>
    <row r="1150" spans="4:6">
      <c r="D1150" s="283">
        <v>4903</v>
      </c>
      <c r="E1150" s="20"/>
      <c r="F1150" s="222"/>
    </row>
    <row r="1151" spans="4:6">
      <c r="D1151" s="283">
        <v>4905</v>
      </c>
      <c r="E1151" s="20"/>
      <c r="F1151" s="222"/>
    </row>
    <row r="1152" spans="4:6">
      <c r="D1152" s="283">
        <v>4907</v>
      </c>
      <c r="E1152" s="20"/>
      <c r="F1152" s="222"/>
    </row>
    <row r="1153" spans="4:6">
      <c r="D1153" s="283">
        <v>4908</v>
      </c>
      <c r="E1153" s="20"/>
      <c r="F1153" s="222"/>
    </row>
    <row r="1154" spans="4:6">
      <c r="D1154" s="283">
        <v>4909</v>
      </c>
      <c r="E1154" s="20"/>
      <c r="F1154" s="222"/>
    </row>
    <row r="1155" spans="4:6">
      <c r="D1155" s="283">
        <v>4911</v>
      </c>
      <c r="E1155" s="20"/>
      <c r="F1155" s="222"/>
    </row>
    <row r="1156" spans="4:6">
      <c r="D1156" s="283">
        <v>4924</v>
      </c>
      <c r="E1156" s="20"/>
      <c r="F1156" s="222"/>
    </row>
    <row r="1157" spans="4:6">
      <c r="D1157" s="283">
        <v>4933</v>
      </c>
      <c r="E1157" s="20"/>
      <c r="F1157" s="222"/>
    </row>
    <row r="1158" spans="4:6">
      <c r="D1158" s="283">
        <v>4939</v>
      </c>
      <c r="E1158" s="20"/>
      <c r="F1158" s="222"/>
    </row>
    <row r="1159" spans="4:6">
      <c r="D1159" s="283">
        <v>4944</v>
      </c>
      <c r="E1159" s="20"/>
      <c r="F1159" s="222"/>
    </row>
    <row r="1160" spans="4:6">
      <c r="D1160" s="283">
        <v>4946</v>
      </c>
      <c r="E1160" s="20"/>
      <c r="F1160" s="222"/>
    </row>
    <row r="1161" spans="4:6">
      <c r="D1161" s="283">
        <v>4947</v>
      </c>
      <c r="E1161" s="20"/>
      <c r="F1161" s="222"/>
    </row>
    <row r="1162" spans="4:6">
      <c r="D1162" s="283">
        <v>4950</v>
      </c>
      <c r="E1162" s="20"/>
      <c r="F1162" s="222"/>
    </row>
    <row r="1163" spans="4:6">
      <c r="D1163" s="283">
        <v>4953</v>
      </c>
      <c r="E1163" s="20"/>
      <c r="F1163" s="222"/>
    </row>
    <row r="1164" spans="4:6">
      <c r="D1164" s="283">
        <v>4965</v>
      </c>
      <c r="E1164" s="20"/>
      <c r="F1164" s="222"/>
    </row>
    <row r="1165" spans="4:6">
      <c r="D1165" s="283">
        <v>4966</v>
      </c>
      <c r="E1165" s="20"/>
      <c r="F1165" s="222"/>
    </row>
    <row r="1166" spans="4:6">
      <c r="D1166" s="283">
        <v>4971</v>
      </c>
      <c r="E1166" s="20"/>
      <c r="F1166" s="222"/>
    </row>
    <row r="1167" spans="4:6">
      <c r="D1167" s="283">
        <v>4972</v>
      </c>
      <c r="E1167" s="20"/>
      <c r="F1167" s="222"/>
    </row>
    <row r="1168" spans="4:6">
      <c r="D1168" s="283">
        <v>4973</v>
      </c>
      <c r="E1168" s="20"/>
      <c r="F1168" s="222"/>
    </row>
    <row r="1169" spans="4:6">
      <c r="D1169" s="283">
        <v>4974</v>
      </c>
      <c r="E1169" s="20"/>
      <c r="F1169" s="222"/>
    </row>
    <row r="1170" spans="4:6">
      <c r="D1170" s="283">
        <v>4979</v>
      </c>
      <c r="E1170" s="20"/>
      <c r="F1170" s="222"/>
    </row>
    <row r="1171" spans="4:6">
      <c r="D1171" s="283">
        <v>4987</v>
      </c>
      <c r="E1171" s="20"/>
      <c r="F1171" s="222"/>
    </row>
    <row r="1172" spans="4:6">
      <c r="D1172" s="283">
        <v>4991</v>
      </c>
      <c r="E1172" s="20"/>
      <c r="F1172" s="222"/>
    </row>
    <row r="1173" spans="4:6">
      <c r="D1173" s="283">
        <v>4995</v>
      </c>
      <c r="E1173" s="20"/>
      <c r="F1173" s="222"/>
    </row>
    <row r="1174" spans="4:6">
      <c r="D1174" s="283">
        <v>5009</v>
      </c>
      <c r="E1174" s="20"/>
      <c r="F1174" s="222"/>
    </row>
    <row r="1175" spans="4:6">
      <c r="D1175" s="283">
        <v>5011</v>
      </c>
      <c r="E1175" s="20"/>
      <c r="F1175" s="222"/>
    </row>
    <row r="1176" spans="4:6">
      <c r="D1176" s="283">
        <v>5013</v>
      </c>
      <c r="E1176" s="20"/>
      <c r="F1176" s="222"/>
    </row>
    <row r="1177" spans="4:6">
      <c r="D1177" s="283">
        <v>5014</v>
      </c>
      <c r="E1177" s="20"/>
      <c r="F1177" s="222"/>
    </row>
    <row r="1178" spans="4:6">
      <c r="D1178" s="283">
        <v>5015</v>
      </c>
      <c r="E1178" s="20"/>
      <c r="F1178" s="222"/>
    </row>
    <row r="1179" spans="4:6">
      <c r="D1179" s="283">
        <v>5016</v>
      </c>
      <c r="E1179" s="20"/>
      <c r="F1179" s="222"/>
    </row>
    <row r="1180" spans="4:6">
      <c r="D1180" s="283">
        <v>5102</v>
      </c>
      <c r="E1180" s="20"/>
      <c r="F1180" s="222"/>
    </row>
    <row r="1181" spans="4:6">
      <c r="D1181" s="283">
        <v>5201</v>
      </c>
      <c r="E1181" s="20"/>
      <c r="F1181" s="222"/>
    </row>
    <row r="1182" spans="4:6">
      <c r="D1182" s="283">
        <v>5202</v>
      </c>
      <c r="E1182" s="20"/>
      <c r="F1182" s="222"/>
    </row>
    <row r="1183" spans="4:6">
      <c r="D1183" s="283">
        <v>5205</v>
      </c>
      <c r="E1183" s="20"/>
      <c r="F1183" s="222"/>
    </row>
    <row r="1184" spans="4:6">
      <c r="D1184" s="283">
        <v>5206</v>
      </c>
      <c r="E1184" s="20"/>
      <c r="F1184" s="222"/>
    </row>
    <row r="1185" spans="4:6">
      <c r="D1185" s="283">
        <v>5209</v>
      </c>
      <c r="E1185" s="20"/>
      <c r="F1185" s="222"/>
    </row>
    <row r="1186" spans="4:6">
      <c r="D1186" s="283">
        <v>5210</v>
      </c>
      <c r="E1186" s="20"/>
      <c r="F1186" s="222"/>
    </row>
    <row r="1187" spans="4:6">
      <c r="D1187" s="283">
        <v>5211</v>
      </c>
      <c r="E1187" s="20"/>
      <c r="F1187" s="222"/>
    </row>
    <row r="1188" spans="4:6">
      <c r="D1188" s="283">
        <v>5212</v>
      </c>
      <c r="E1188" s="20"/>
      <c r="F1188" s="222"/>
    </row>
    <row r="1189" spans="4:6">
      <c r="D1189" s="283">
        <v>5213</v>
      </c>
      <c r="E1189" s="20"/>
      <c r="F1189" s="222"/>
    </row>
    <row r="1190" spans="4:6">
      <c r="D1190" s="283">
        <v>5227</v>
      </c>
      <c r="E1190" s="20"/>
      <c r="F1190" s="222"/>
    </row>
    <row r="1191" spans="4:6">
      <c r="D1191" s="283">
        <v>5230</v>
      </c>
      <c r="E1191" s="20"/>
      <c r="F1191" s="222"/>
    </row>
    <row r="1192" spans="4:6">
      <c r="D1192" s="283">
        <v>5245</v>
      </c>
      <c r="E1192" s="20"/>
      <c r="F1192" s="222"/>
    </row>
    <row r="1193" spans="4:6">
      <c r="D1193" s="283">
        <v>5251</v>
      </c>
      <c r="E1193" s="20"/>
      <c r="F1193" s="222"/>
    </row>
    <row r="1194" spans="4:6">
      <c r="D1194" s="283">
        <v>5255</v>
      </c>
      <c r="E1194" s="20"/>
      <c r="F1194" s="222"/>
    </row>
    <row r="1195" spans="4:6">
      <c r="D1195" s="283">
        <v>5263</v>
      </c>
      <c r="E1195" s="20"/>
      <c r="F1195" s="222"/>
    </row>
    <row r="1196" spans="4:6">
      <c r="D1196" s="283">
        <v>5266</v>
      </c>
      <c r="E1196" s="20"/>
      <c r="F1196" s="222"/>
    </row>
    <row r="1197" spans="4:6">
      <c r="D1197" s="283">
        <v>5272</v>
      </c>
      <c r="E1197" s="20"/>
      <c r="F1197" s="222"/>
    </row>
    <row r="1198" spans="4:6">
      <c r="D1198" s="283">
        <v>5274</v>
      </c>
      <c r="E1198" s="20"/>
      <c r="F1198" s="222"/>
    </row>
    <row r="1199" spans="4:6">
      <c r="D1199" s="283">
        <v>5276</v>
      </c>
      <c r="E1199" s="20"/>
      <c r="F1199" s="222"/>
    </row>
    <row r="1200" spans="4:6">
      <c r="D1200" s="283">
        <v>5278</v>
      </c>
      <c r="E1200" s="20"/>
      <c r="F1200" s="222"/>
    </row>
    <row r="1201" spans="4:6">
      <c r="D1201" s="283">
        <v>5284</v>
      </c>
      <c r="E1201" s="20"/>
      <c r="F1201" s="222"/>
    </row>
    <row r="1202" spans="4:6">
      <c r="D1202" s="283">
        <v>5287</v>
      </c>
      <c r="E1202" s="20"/>
      <c r="F1202" s="222"/>
    </row>
    <row r="1203" spans="4:6">
      <c r="D1203" s="283">
        <v>5289</v>
      </c>
      <c r="E1203" s="20"/>
      <c r="F1203" s="222"/>
    </row>
    <row r="1204" spans="4:6">
      <c r="D1204" s="283">
        <v>5291</v>
      </c>
      <c r="E1204" s="20"/>
      <c r="F1204" s="222"/>
    </row>
    <row r="1205" spans="4:6">
      <c r="D1205" s="283">
        <v>5301</v>
      </c>
      <c r="E1205" s="20"/>
      <c r="F1205" s="222"/>
    </row>
    <row r="1206" spans="4:6">
      <c r="D1206" s="283">
        <v>5302</v>
      </c>
      <c r="E1206" s="20"/>
      <c r="F1206" s="222"/>
    </row>
    <row r="1207" spans="4:6">
      <c r="D1207" s="283">
        <v>5304</v>
      </c>
      <c r="E1207" s="20"/>
      <c r="F1207" s="222"/>
    </row>
    <row r="1208" spans="4:6">
      <c r="D1208" s="283">
        <v>5306</v>
      </c>
      <c r="E1208" s="20"/>
      <c r="F1208" s="222"/>
    </row>
    <row r="1209" spans="4:6">
      <c r="D1209" s="283">
        <v>5309</v>
      </c>
      <c r="E1209" s="20"/>
      <c r="F1209" s="222"/>
    </row>
    <row r="1210" spans="4:6">
      <c r="D1210" s="283">
        <v>5310</v>
      </c>
      <c r="E1210" s="20"/>
      <c r="F1210" s="222"/>
    </row>
    <row r="1211" spans="4:6">
      <c r="D1211" s="283">
        <v>5312</v>
      </c>
      <c r="E1211" s="20"/>
      <c r="F1211" s="222"/>
    </row>
    <row r="1212" spans="4:6">
      <c r="D1212" s="283">
        <v>5314</v>
      </c>
      <c r="E1212" s="20"/>
      <c r="F1212" s="222"/>
    </row>
    <row r="1213" spans="4:6">
      <c r="D1213" s="283">
        <v>5315</v>
      </c>
      <c r="E1213" s="20"/>
      <c r="F1213" s="222"/>
    </row>
    <row r="1214" spans="4:6">
      <c r="D1214" s="283">
        <v>5317</v>
      </c>
      <c r="E1214" s="20"/>
      <c r="F1214" s="222"/>
    </row>
    <row r="1215" spans="4:6">
      <c r="D1215" s="283">
        <v>5321</v>
      </c>
      <c r="E1215" s="20"/>
      <c r="F1215" s="222"/>
    </row>
    <row r="1216" spans="4:6">
      <c r="D1216" s="283">
        <v>5324</v>
      </c>
      <c r="E1216" s="20"/>
      <c r="F1216" s="222"/>
    </row>
    <row r="1217" spans="4:6">
      <c r="D1217" s="283">
        <v>5328</v>
      </c>
      <c r="E1217" s="20"/>
      <c r="F1217" s="222"/>
    </row>
    <row r="1218" spans="4:6">
      <c r="D1218" s="283">
        <v>5340</v>
      </c>
      <c r="E1218" s="20"/>
      <c r="F1218" s="222"/>
    </row>
    <row r="1219" spans="4:6">
      <c r="D1219" s="283">
        <v>5344</v>
      </c>
      <c r="E1219" s="20"/>
      <c r="F1219" s="222"/>
    </row>
    <row r="1220" spans="4:6">
      <c r="D1220" s="283">
        <v>5345</v>
      </c>
      <c r="E1220" s="20"/>
      <c r="F1220" s="222"/>
    </row>
    <row r="1221" spans="4:6">
      <c r="D1221" s="283">
        <v>5347</v>
      </c>
      <c r="E1221" s="20"/>
      <c r="F1221" s="222"/>
    </row>
    <row r="1222" spans="4:6">
      <c r="D1222" s="283">
        <v>5348</v>
      </c>
      <c r="E1222" s="20"/>
      <c r="F1222" s="222"/>
    </row>
    <row r="1223" spans="4:6">
      <c r="D1223" s="283">
        <v>5349</v>
      </c>
      <c r="E1223" s="20"/>
      <c r="F1223" s="222"/>
    </row>
    <row r="1224" spans="4:6">
      <c r="D1224" s="283">
        <v>5351</v>
      </c>
      <c r="E1224" s="20"/>
      <c r="F1224" s="222"/>
    </row>
    <row r="1225" spans="4:6">
      <c r="D1225" s="283">
        <v>5353</v>
      </c>
      <c r="E1225" s="20"/>
      <c r="F1225" s="222"/>
    </row>
    <row r="1226" spans="4:6">
      <c r="D1226" s="283">
        <v>5355</v>
      </c>
      <c r="E1226" s="20"/>
      <c r="F1226" s="222"/>
    </row>
    <row r="1227" spans="4:6">
      <c r="D1227" s="283">
        <v>5356</v>
      </c>
      <c r="E1227" s="20"/>
      <c r="F1227" s="222"/>
    </row>
    <row r="1228" spans="4:6">
      <c r="D1228" s="283">
        <v>5364</v>
      </c>
      <c r="E1228" s="20"/>
      <c r="F1228" s="222"/>
    </row>
    <row r="1229" spans="4:6">
      <c r="D1229" s="283">
        <v>5371</v>
      </c>
      <c r="E1229" s="20"/>
      <c r="F1229" s="222"/>
    </row>
    <row r="1230" spans="4:6">
      <c r="D1230" s="283">
        <v>5381</v>
      </c>
      <c r="E1230" s="20"/>
      <c r="F1230" s="222"/>
    </row>
    <row r="1231" spans="4:6">
      <c r="D1231" s="283">
        <v>5383</v>
      </c>
      <c r="E1231" s="20"/>
      <c r="F1231" s="222"/>
    </row>
    <row r="1232" spans="4:6">
      <c r="D1232" s="283">
        <v>5384</v>
      </c>
      <c r="E1232" s="20"/>
      <c r="F1232" s="222"/>
    </row>
    <row r="1233" spans="4:6">
      <c r="D1233" s="283">
        <v>5386</v>
      </c>
      <c r="E1233" s="20"/>
      <c r="F1233" s="222"/>
    </row>
    <row r="1234" spans="4:6">
      <c r="D1234" s="283">
        <v>5392</v>
      </c>
      <c r="E1234" s="20"/>
      <c r="F1234" s="222"/>
    </row>
    <row r="1235" spans="4:6">
      <c r="D1235" s="283">
        <v>5395</v>
      </c>
      <c r="E1235" s="20"/>
      <c r="F1235" s="222"/>
    </row>
    <row r="1236" spans="4:6">
      <c r="D1236" s="283">
        <v>5398</v>
      </c>
      <c r="E1236" s="20"/>
      <c r="F1236" s="222"/>
    </row>
    <row r="1237" spans="4:6">
      <c r="D1237" s="283">
        <v>5403</v>
      </c>
      <c r="E1237" s="20"/>
      <c r="F1237" s="222"/>
    </row>
    <row r="1238" spans="4:6">
      <c r="D1238" s="283">
        <v>5410</v>
      </c>
      <c r="E1238" s="20"/>
      <c r="F1238" s="222"/>
    </row>
    <row r="1239" spans="4:6">
      <c r="D1239" s="283">
        <v>5425</v>
      </c>
      <c r="E1239" s="20"/>
      <c r="F1239" s="222"/>
    </row>
    <row r="1240" spans="4:6">
      <c r="D1240" s="283">
        <v>5426</v>
      </c>
      <c r="E1240" s="20"/>
      <c r="F1240" s="222"/>
    </row>
    <row r="1241" spans="4:6">
      <c r="D1241" s="283">
        <v>5432</v>
      </c>
      <c r="E1241" s="20"/>
      <c r="F1241" s="222"/>
    </row>
    <row r="1242" spans="4:6">
      <c r="D1242" s="283">
        <v>5438</v>
      </c>
      <c r="E1242" s="20"/>
      <c r="F1242" s="222"/>
    </row>
    <row r="1243" spans="4:6">
      <c r="D1243" s="283">
        <v>5439</v>
      </c>
      <c r="E1243" s="20"/>
      <c r="F1243" s="222"/>
    </row>
    <row r="1244" spans="4:6">
      <c r="D1244" s="283">
        <v>5443</v>
      </c>
      <c r="E1244" s="20"/>
      <c r="F1244" s="222"/>
    </row>
    <row r="1245" spans="4:6">
      <c r="D1245" s="283">
        <v>5450</v>
      </c>
      <c r="E1245" s="20"/>
      <c r="F1245" s="222"/>
    </row>
    <row r="1246" spans="4:6">
      <c r="D1246" s="283">
        <v>5452</v>
      </c>
      <c r="E1246" s="20"/>
      <c r="F1246" s="222"/>
    </row>
    <row r="1247" spans="4:6">
      <c r="D1247" s="283">
        <v>5455</v>
      </c>
      <c r="E1247" s="20"/>
      <c r="F1247" s="222"/>
    </row>
    <row r="1248" spans="4:6">
      <c r="D1248" s="283">
        <v>5457</v>
      </c>
      <c r="E1248" s="20"/>
      <c r="F1248" s="222"/>
    </row>
    <row r="1249" spans="4:6">
      <c r="D1249" s="283">
        <v>5460</v>
      </c>
      <c r="E1249" s="20"/>
      <c r="F1249" s="222"/>
    </row>
    <row r="1250" spans="4:6">
      <c r="D1250" s="283">
        <v>5464</v>
      </c>
      <c r="E1250" s="20"/>
      <c r="F1250" s="222"/>
    </row>
    <row r="1251" spans="4:6">
      <c r="D1251" s="283">
        <v>5465</v>
      </c>
      <c r="E1251" s="20"/>
      <c r="F1251" s="222"/>
    </row>
    <row r="1252" spans="4:6">
      <c r="D1252" s="283">
        <v>5468</v>
      </c>
      <c r="E1252" s="20"/>
      <c r="F1252" s="222"/>
    </row>
    <row r="1253" spans="4:6">
      <c r="D1253" s="283">
        <v>5474</v>
      </c>
      <c r="E1253" s="20"/>
      <c r="F1253" s="222"/>
    </row>
    <row r="1254" spans="4:6">
      <c r="D1254" s="283">
        <v>5475</v>
      </c>
      <c r="E1254" s="20"/>
      <c r="F1254" s="222"/>
    </row>
    <row r="1255" spans="4:6">
      <c r="D1255" s="283">
        <v>5478</v>
      </c>
      <c r="E1255" s="20"/>
      <c r="F1255" s="222"/>
    </row>
    <row r="1256" spans="4:6">
      <c r="D1256" s="283">
        <v>5480</v>
      </c>
      <c r="E1256" s="20"/>
      <c r="F1256" s="222"/>
    </row>
    <row r="1257" spans="4:6">
      <c r="D1257" s="283">
        <v>5481</v>
      </c>
      <c r="E1257" s="20"/>
      <c r="F1257" s="222"/>
    </row>
    <row r="1258" spans="4:6">
      <c r="D1258" s="283">
        <v>5483</v>
      </c>
      <c r="E1258" s="20"/>
      <c r="F1258" s="222"/>
    </row>
    <row r="1259" spans="4:6">
      <c r="D1259" s="283">
        <v>5487</v>
      </c>
      <c r="E1259" s="20"/>
      <c r="F1259" s="222"/>
    </row>
    <row r="1260" spans="4:6">
      <c r="D1260" s="283">
        <v>5488</v>
      </c>
      <c r="E1260" s="20"/>
      <c r="F1260" s="222"/>
    </row>
    <row r="1261" spans="4:6">
      <c r="D1261" s="283">
        <v>5489</v>
      </c>
      <c r="E1261" s="20"/>
      <c r="F1261" s="222"/>
    </row>
    <row r="1262" spans="4:6">
      <c r="D1262" s="283">
        <v>5490</v>
      </c>
      <c r="E1262" s="20"/>
      <c r="F1262" s="222"/>
    </row>
    <row r="1263" spans="4:6">
      <c r="D1263" s="283">
        <v>5491</v>
      </c>
      <c r="E1263" s="20"/>
      <c r="F1263" s="222"/>
    </row>
    <row r="1264" spans="4:6">
      <c r="D1264" s="283">
        <v>5493</v>
      </c>
      <c r="E1264" s="20"/>
      <c r="F1264" s="222"/>
    </row>
    <row r="1265" spans="4:6">
      <c r="D1265" s="283">
        <v>5498</v>
      </c>
      <c r="E1265" s="20"/>
      <c r="F1265" s="222"/>
    </row>
    <row r="1266" spans="4:6">
      <c r="D1266" s="283">
        <v>5506</v>
      </c>
      <c r="E1266" s="20"/>
      <c r="F1266" s="222"/>
    </row>
    <row r="1267" spans="4:6">
      <c r="D1267" s="283">
        <v>5508</v>
      </c>
      <c r="E1267" s="20"/>
      <c r="F1267" s="222"/>
    </row>
    <row r="1268" spans="4:6">
      <c r="D1268" s="283">
        <v>5511</v>
      </c>
      <c r="E1268" s="20"/>
      <c r="F1268" s="222"/>
    </row>
    <row r="1269" spans="4:6">
      <c r="D1269" s="283">
        <v>5512</v>
      </c>
      <c r="E1269" s="20"/>
      <c r="F1269" s="222"/>
    </row>
    <row r="1270" spans="4:6">
      <c r="D1270" s="283">
        <v>5514</v>
      </c>
      <c r="E1270" s="20"/>
      <c r="F1270" s="222"/>
    </row>
    <row r="1271" spans="4:6">
      <c r="D1271" s="283">
        <v>5516</v>
      </c>
      <c r="E1271" s="20"/>
      <c r="F1271" s="222"/>
    </row>
    <row r="1272" spans="4:6">
      <c r="D1272" s="283">
        <v>5520</v>
      </c>
      <c r="E1272" s="20"/>
      <c r="F1272" s="222"/>
    </row>
    <row r="1273" spans="4:6">
      <c r="D1273" s="283">
        <v>5523</v>
      </c>
      <c r="E1273" s="20"/>
      <c r="F1273" s="222"/>
    </row>
    <row r="1274" spans="4:6">
      <c r="D1274" s="283">
        <v>5529</v>
      </c>
      <c r="E1274" s="20"/>
      <c r="F1274" s="222"/>
    </row>
    <row r="1275" spans="4:6">
      <c r="D1275" s="283">
        <v>5530</v>
      </c>
      <c r="E1275" s="20"/>
      <c r="F1275" s="222"/>
    </row>
    <row r="1276" spans="4:6">
      <c r="D1276" s="283">
        <v>5536</v>
      </c>
      <c r="E1276" s="20"/>
      <c r="F1276" s="222"/>
    </row>
    <row r="1277" spans="4:6">
      <c r="D1277" s="283">
        <v>5601</v>
      </c>
      <c r="E1277" s="20"/>
      <c r="F1277" s="222"/>
    </row>
    <row r="1278" spans="4:6">
      <c r="D1278" s="283">
        <v>5603</v>
      </c>
      <c r="E1278" s="20"/>
      <c r="F1278" s="222"/>
    </row>
    <row r="1279" spans="4:6">
      <c r="D1279" s="283">
        <v>5604</v>
      </c>
      <c r="E1279" s="20"/>
      <c r="F1279" s="222"/>
    </row>
    <row r="1280" spans="4:6">
      <c r="D1280" s="283">
        <v>5609</v>
      </c>
      <c r="E1280" s="20"/>
      <c r="F1280" s="222"/>
    </row>
    <row r="1281" spans="4:6">
      <c r="D1281" s="283">
        <v>5701</v>
      </c>
      <c r="E1281" s="20"/>
      <c r="F1281" s="222"/>
    </row>
    <row r="1282" spans="4:6">
      <c r="D1282" s="283">
        <v>5703</v>
      </c>
      <c r="E1282" s="20"/>
      <c r="F1282" s="222"/>
    </row>
    <row r="1283" spans="4:6">
      <c r="D1283" s="283">
        <v>5704</v>
      </c>
      <c r="E1283" s="20"/>
      <c r="F1283" s="222"/>
    </row>
    <row r="1284" spans="4:6">
      <c r="D1284" s="283">
        <v>5878</v>
      </c>
      <c r="E1284" s="20"/>
      <c r="F1284" s="222"/>
    </row>
    <row r="1285" spans="4:6">
      <c r="D1285" s="283">
        <v>5902</v>
      </c>
      <c r="E1285" s="20"/>
      <c r="F1285" s="222"/>
    </row>
    <row r="1286" spans="4:6">
      <c r="D1286" s="283">
        <v>5903</v>
      </c>
      <c r="E1286" s="20"/>
      <c r="F1286" s="222"/>
    </row>
    <row r="1287" spans="4:6">
      <c r="D1287" s="283">
        <v>5904</v>
      </c>
      <c r="E1287" s="20"/>
      <c r="F1287" s="222"/>
    </row>
    <row r="1288" spans="4:6">
      <c r="D1288" s="283">
        <v>5905</v>
      </c>
      <c r="E1288" s="20"/>
      <c r="F1288" s="222"/>
    </row>
    <row r="1289" spans="4:6">
      <c r="D1289" s="283">
        <v>6101</v>
      </c>
      <c r="E1289" s="20"/>
      <c r="F1289" s="222"/>
    </row>
    <row r="1290" spans="4:6">
      <c r="D1290" s="283">
        <v>6103</v>
      </c>
      <c r="E1290" s="20"/>
      <c r="F1290" s="222"/>
    </row>
    <row r="1291" spans="4:6">
      <c r="D1291" s="283">
        <v>6104</v>
      </c>
      <c r="E1291" s="20"/>
      <c r="F1291" s="222"/>
    </row>
    <row r="1292" spans="4:6">
      <c r="D1292" s="283">
        <v>6105</v>
      </c>
      <c r="E1292" s="20"/>
      <c r="F1292" s="222"/>
    </row>
    <row r="1293" spans="4:6">
      <c r="D1293" s="283">
        <v>6107</v>
      </c>
      <c r="E1293" s="20"/>
      <c r="F1293" s="222"/>
    </row>
    <row r="1294" spans="4:6">
      <c r="D1294" s="283">
        <v>6109</v>
      </c>
      <c r="E1294" s="20"/>
      <c r="F1294" s="222"/>
    </row>
    <row r="1295" spans="4:6">
      <c r="D1295" s="283">
        <v>6111</v>
      </c>
      <c r="E1295" s="20"/>
      <c r="F1295" s="222"/>
    </row>
    <row r="1296" spans="4:6">
      <c r="D1296" s="283">
        <v>6113</v>
      </c>
      <c r="E1296" s="20"/>
      <c r="F1296" s="222"/>
    </row>
    <row r="1297" spans="4:6">
      <c r="D1297" s="283">
        <v>6114</v>
      </c>
      <c r="E1297" s="20"/>
      <c r="F1297" s="222"/>
    </row>
    <row r="1298" spans="4:6">
      <c r="D1298" s="283">
        <v>6118</v>
      </c>
      <c r="E1298" s="20"/>
      <c r="F1298" s="222"/>
    </row>
    <row r="1299" spans="4:6">
      <c r="D1299" s="283">
        <v>6121</v>
      </c>
      <c r="E1299" s="20"/>
      <c r="F1299" s="222"/>
    </row>
    <row r="1300" spans="4:6">
      <c r="D1300" s="283">
        <v>6122</v>
      </c>
      <c r="E1300" s="20"/>
      <c r="F1300" s="222"/>
    </row>
    <row r="1301" spans="4:6">
      <c r="D1301" s="283">
        <v>6123</v>
      </c>
      <c r="E1301" s="20"/>
      <c r="F1301" s="222"/>
    </row>
    <row r="1302" spans="4:6">
      <c r="D1302" s="283">
        <v>6124</v>
      </c>
      <c r="E1302" s="20"/>
      <c r="F1302" s="222"/>
    </row>
    <row r="1303" spans="4:6">
      <c r="D1303" s="283">
        <v>6125</v>
      </c>
      <c r="E1303" s="20"/>
      <c r="F1303" s="222"/>
    </row>
    <row r="1304" spans="4:6">
      <c r="D1304" s="283">
        <v>6126</v>
      </c>
      <c r="E1304" s="20"/>
      <c r="F1304" s="222"/>
    </row>
    <row r="1305" spans="4:6">
      <c r="D1305" s="283">
        <v>6127</v>
      </c>
      <c r="E1305" s="20"/>
      <c r="F1305" s="222"/>
    </row>
    <row r="1306" spans="4:6">
      <c r="D1306" s="283">
        <v>6129</v>
      </c>
      <c r="E1306" s="20"/>
      <c r="F1306" s="222"/>
    </row>
    <row r="1307" spans="4:6">
      <c r="D1307" s="283">
        <v>6130</v>
      </c>
      <c r="E1307" s="20"/>
      <c r="F1307" s="222"/>
    </row>
    <row r="1308" spans="4:6">
      <c r="D1308" s="283">
        <v>6134</v>
      </c>
      <c r="E1308" s="20"/>
      <c r="F1308" s="222"/>
    </row>
    <row r="1309" spans="4:6">
      <c r="D1309" s="283">
        <v>6138</v>
      </c>
      <c r="E1309" s="20"/>
      <c r="F1309" s="222"/>
    </row>
    <row r="1310" spans="4:6">
      <c r="D1310" s="283">
        <v>6140</v>
      </c>
      <c r="E1310" s="20"/>
      <c r="F1310" s="222"/>
    </row>
    <row r="1311" spans="4:6">
      <c r="D1311" s="283">
        <v>6143</v>
      </c>
      <c r="E1311" s="20"/>
      <c r="F1311" s="222"/>
    </row>
    <row r="1312" spans="4:6">
      <c r="D1312" s="283">
        <v>6144</v>
      </c>
      <c r="E1312" s="20"/>
      <c r="F1312" s="222"/>
    </row>
    <row r="1313" spans="4:6">
      <c r="D1313" s="283">
        <v>6146</v>
      </c>
      <c r="E1313" s="20"/>
      <c r="F1313" s="222"/>
    </row>
    <row r="1314" spans="4:6">
      <c r="D1314" s="283">
        <v>6147</v>
      </c>
      <c r="E1314" s="20"/>
      <c r="F1314" s="222"/>
    </row>
    <row r="1315" spans="4:6">
      <c r="D1315" s="283">
        <v>6148</v>
      </c>
      <c r="E1315" s="20"/>
      <c r="F1315" s="222"/>
    </row>
    <row r="1316" spans="4:6">
      <c r="D1316" s="283">
        <v>6150</v>
      </c>
      <c r="E1316" s="20"/>
      <c r="F1316" s="222"/>
    </row>
    <row r="1317" spans="4:6">
      <c r="D1317" s="283">
        <v>6151</v>
      </c>
      <c r="E1317" s="20"/>
      <c r="F1317" s="222"/>
    </row>
    <row r="1318" spans="4:6">
      <c r="D1318" s="283">
        <v>6154</v>
      </c>
      <c r="E1318" s="20"/>
      <c r="F1318" s="222"/>
    </row>
    <row r="1319" spans="4:6">
      <c r="D1319" s="283">
        <v>6156</v>
      </c>
      <c r="E1319" s="20"/>
      <c r="F1319" s="222"/>
    </row>
    <row r="1320" spans="4:6">
      <c r="D1320" s="283">
        <v>6158</v>
      </c>
      <c r="E1320" s="20"/>
      <c r="F1320" s="222"/>
    </row>
    <row r="1321" spans="4:6">
      <c r="D1321" s="283">
        <v>6160</v>
      </c>
      <c r="E1321" s="20"/>
      <c r="F1321" s="222"/>
    </row>
    <row r="1322" spans="4:6">
      <c r="D1322" s="283">
        <v>6161</v>
      </c>
      <c r="E1322" s="20"/>
      <c r="F1322" s="222"/>
    </row>
    <row r="1323" spans="4:6">
      <c r="D1323" s="283">
        <v>6163</v>
      </c>
      <c r="E1323" s="20"/>
      <c r="F1323" s="222"/>
    </row>
    <row r="1324" spans="4:6">
      <c r="D1324" s="283">
        <v>6167</v>
      </c>
      <c r="E1324" s="20"/>
      <c r="F1324" s="222"/>
    </row>
    <row r="1325" spans="4:6">
      <c r="D1325" s="283">
        <v>6169</v>
      </c>
      <c r="E1325" s="20"/>
      <c r="F1325" s="222"/>
    </row>
    <row r="1326" spans="4:6">
      <c r="D1326" s="283">
        <v>6170</v>
      </c>
      <c r="E1326" s="20"/>
      <c r="F1326" s="222"/>
    </row>
    <row r="1327" spans="4:6">
      <c r="D1327" s="283">
        <v>6171</v>
      </c>
      <c r="E1327" s="20"/>
      <c r="F1327" s="222"/>
    </row>
    <row r="1328" spans="4:6">
      <c r="D1328" s="283">
        <v>6173</v>
      </c>
      <c r="E1328" s="20"/>
      <c r="F1328" s="222"/>
    </row>
    <row r="1329" spans="4:6">
      <c r="D1329" s="283">
        <v>6174</v>
      </c>
      <c r="E1329" s="20"/>
      <c r="F1329" s="222"/>
    </row>
    <row r="1330" spans="4:6">
      <c r="D1330" s="283">
        <v>6175</v>
      </c>
      <c r="E1330" s="20"/>
      <c r="F1330" s="222"/>
    </row>
    <row r="1331" spans="4:6">
      <c r="D1331" s="283">
        <v>6179</v>
      </c>
      <c r="E1331" s="20"/>
      <c r="F1331" s="222"/>
    </row>
    <row r="1332" spans="4:6">
      <c r="D1332" s="283">
        <v>6180</v>
      </c>
      <c r="E1332" s="20"/>
      <c r="F1332" s="222"/>
    </row>
    <row r="1333" spans="4:6">
      <c r="D1333" s="283">
        <v>6182</v>
      </c>
      <c r="E1333" s="20"/>
      <c r="F1333" s="222"/>
    </row>
    <row r="1334" spans="4:6">
      <c r="D1334" s="283">
        <v>6185</v>
      </c>
      <c r="E1334" s="20"/>
      <c r="F1334" s="222"/>
    </row>
    <row r="1335" spans="4:6">
      <c r="D1335" s="283">
        <v>6186</v>
      </c>
      <c r="E1335" s="20"/>
      <c r="F1335" s="222"/>
    </row>
    <row r="1336" spans="4:6">
      <c r="D1336" s="283">
        <v>6187</v>
      </c>
      <c r="E1336" s="20"/>
      <c r="F1336" s="222"/>
    </row>
    <row r="1337" spans="4:6">
      <c r="D1337" s="283">
        <v>6188</v>
      </c>
      <c r="E1337" s="20"/>
      <c r="F1337" s="222"/>
    </row>
    <row r="1338" spans="4:6">
      <c r="D1338" s="283">
        <v>6190</v>
      </c>
      <c r="E1338" s="20"/>
      <c r="F1338" s="222"/>
    </row>
    <row r="1339" spans="4:6">
      <c r="D1339" s="283">
        <v>6194</v>
      </c>
      <c r="E1339" s="20"/>
      <c r="F1339" s="222"/>
    </row>
    <row r="1340" spans="4:6">
      <c r="D1340" s="283">
        <v>6195</v>
      </c>
      <c r="E1340" s="20"/>
      <c r="F1340" s="222"/>
    </row>
    <row r="1341" spans="4:6">
      <c r="D1341" s="283">
        <v>6198</v>
      </c>
      <c r="E1341" s="20"/>
      <c r="F1341" s="222"/>
    </row>
    <row r="1342" spans="4:6">
      <c r="D1342" s="283">
        <v>6199</v>
      </c>
      <c r="E1342" s="20"/>
      <c r="F1342" s="222"/>
    </row>
    <row r="1343" spans="4:6">
      <c r="D1343" s="283">
        <v>6203</v>
      </c>
      <c r="E1343" s="20"/>
      <c r="F1343" s="222"/>
    </row>
    <row r="1344" spans="4:6">
      <c r="D1344" s="283">
        <v>6204</v>
      </c>
      <c r="E1344" s="20"/>
      <c r="F1344" s="222"/>
    </row>
    <row r="1345" spans="4:6">
      <c r="D1345" s="283">
        <v>6207</v>
      </c>
      <c r="E1345" s="20"/>
      <c r="F1345" s="222"/>
    </row>
    <row r="1346" spans="4:6">
      <c r="D1346" s="283">
        <v>6208</v>
      </c>
      <c r="E1346" s="20"/>
      <c r="F1346" s="222"/>
    </row>
    <row r="1347" spans="4:6">
      <c r="D1347" s="283">
        <v>6210</v>
      </c>
      <c r="E1347" s="20"/>
      <c r="F1347" s="222"/>
    </row>
    <row r="1348" spans="4:6">
      <c r="D1348" s="283">
        <v>6211</v>
      </c>
      <c r="E1348" s="20"/>
      <c r="F1348" s="222"/>
    </row>
    <row r="1349" spans="4:6">
      <c r="D1349" s="283">
        <v>6212</v>
      </c>
      <c r="E1349" s="20"/>
      <c r="F1349" s="222"/>
    </row>
    <row r="1350" spans="4:6">
      <c r="D1350" s="283">
        <v>6217</v>
      </c>
      <c r="E1350" s="20"/>
      <c r="F1350" s="222"/>
    </row>
    <row r="1351" spans="4:6">
      <c r="D1351" s="283">
        <v>6218</v>
      </c>
      <c r="E1351" s="20"/>
      <c r="F1351" s="222"/>
    </row>
    <row r="1352" spans="4:6">
      <c r="D1352" s="283">
        <v>6219</v>
      </c>
      <c r="E1352" s="20"/>
      <c r="F1352" s="222"/>
    </row>
    <row r="1353" spans="4:6">
      <c r="D1353" s="283">
        <v>6220</v>
      </c>
      <c r="E1353" s="20"/>
      <c r="F1353" s="222"/>
    </row>
    <row r="1354" spans="4:6">
      <c r="D1354" s="283">
        <v>6221</v>
      </c>
      <c r="E1354" s="20"/>
      <c r="F1354" s="222"/>
    </row>
    <row r="1355" spans="4:6">
      <c r="D1355" s="283">
        <v>6222</v>
      </c>
      <c r="E1355" s="20"/>
      <c r="F1355" s="222"/>
    </row>
    <row r="1356" spans="4:6">
      <c r="D1356" s="283">
        <v>6223</v>
      </c>
      <c r="E1356" s="20"/>
      <c r="F1356" s="222"/>
    </row>
    <row r="1357" spans="4:6">
      <c r="D1357" s="283">
        <v>6227</v>
      </c>
      <c r="E1357" s="20"/>
      <c r="F1357" s="222"/>
    </row>
    <row r="1358" spans="4:6">
      <c r="D1358" s="283">
        <v>6228</v>
      </c>
      <c r="E1358" s="20"/>
      <c r="F1358" s="222"/>
    </row>
    <row r="1359" spans="4:6">
      <c r="D1359" s="283">
        <v>6229</v>
      </c>
      <c r="E1359" s="20"/>
      <c r="F1359" s="222"/>
    </row>
    <row r="1360" spans="4:6">
      <c r="D1360" s="283">
        <v>6231</v>
      </c>
      <c r="E1360" s="20"/>
      <c r="F1360" s="222"/>
    </row>
    <row r="1361" spans="4:6">
      <c r="D1361" s="283">
        <v>6233</v>
      </c>
      <c r="E1361" s="20"/>
      <c r="F1361" s="222"/>
    </row>
    <row r="1362" spans="4:6">
      <c r="D1362" s="283">
        <v>6234</v>
      </c>
      <c r="E1362" s="20"/>
      <c r="F1362" s="222"/>
    </row>
    <row r="1363" spans="4:6">
      <c r="D1363" s="283">
        <v>6236</v>
      </c>
      <c r="E1363" s="20"/>
      <c r="F1363" s="222"/>
    </row>
    <row r="1364" spans="4:6">
      <c r="D1364" s="283">
        <v>6237</v>
      </c>
      <c r="E1364" s="20"/>
      <c r="F1364" s="222"/>
    </row>
    <row r="1365" spans="4:6">
      <c r="D1365" s="283">
        <v>6238</v>
      </c>
      <c r="E1365" s="20"/>
      <c r="F1365" s="222"/>
    </row>
    <row r="1366" spans="4:6">
      <c r="D1366" s="283">
        <v>6240</v>
      </c>
      <c r="E1366" s="20"/>
      <c r="F1366" s="222"/>
    </row>
    <row r="1367" spans="4:6">
      <c r="D1367" s="283">
        <v>6241</v>
      </c>
      <c r="E1367" s="20"/>
      <c r="F1367" s="222"/>
    </row>
    <row r="1368" spans="4:6">
      <c r="D1368" s="283">
        <v>6242</v>
      </c>
      <c r="E1368" s="20"/>
      <c r="F1368" s="222"/>
    </row>
    <row r="1369" spans="4:6">
      <c r="D1369" s="283">
        <v>6244</v>
      </c>
      <c r="E1369" s="20"/>
      <c r="F1369" s="222"/>
    </row>
    <row r="1370" spans="4:6">
      <c r="D1370" s="283">
        <v>6245</v>
      </c>
      <c r="E1370" s="20"/>
      <c r="F1370" s="222"/>
    </row>
    <row r="1371" spans="4:6">
      <c r="D1371" s="283">
        <v>6246</v>
      </c>
      <c r="E1371" s="20"/>
      <c r="F1371" s="222"/>
    </row>
    <row r="1372" spans="4:6">
      <c r="D1372" s="283">
        <v>6247</v>
      </c>
      <c r="E1372" s="20"/>
      <c r="F1372" s="222"/>
    </row>
    <row r="1373" spans="4:6">
      <c r="D1373" s="283">
        <v>6248</v>
      </c>
      <c r="E1373" s="20"/>
      <c r="F1373" s="222"/>
    </row>
    <row r="1374" spans="4:6">
      <c r="D1374" s="283">
        <v>6250</v>
      </c>
      <c r="E1374" s="20"/>
      <c r="F1374" s="222"/>
    </row>
    <row r="1375" spans="4:6">
      <c r="D1375" s="283">
        <v>6259</v>
      </c>
      <c r="E1375" s="20"/>
      <c r="F1375" s="222"/>
    </row>
    <row r="1376" spans="4:6">
      <c r="D1376" s="283">
        <v>6261</v>
      </c>
      <c r="E1376" s="20"/>
      <c r="F1376" s="222"/>
    </row>
    <row r="1377" spans="4:6">
      <c r="D1377" s="283">
        <v>6263</v>
      </c>
      <c r="E1377" s="20"/>
      <c r="F1377" s="222"/>
    </row>
    <row r="1378" spans="4:6">
      <c r="D1378" s="283">
        <v>6264</v>
      </c>
      <c r="E1378" s="20"/>
      <c r="F1378" s="222"/>
    </row>
    <row r="1379" spans="4:6">
      <c r="D1379" s="283">
        <v>6265</v>
      </c>
      <c r="E1379" s="20"/>
      <c r="F1379" s="222"/>
    </row>
    <row r="1380" spans="4:6">
      <c r="D1380" s="283">
        <v>6266</v>
      </c>
      <c r="E1380" s="20"/>
      <c r="F1380" s="222"/>
    </row>
    <row r="1381" spans="4:6">
      <c r="D1381" s="283">
        <v>6270</v>
      </c>
      <c r="E1381" s="20"/>
      <c r="F1381" s="222"/>
    </row>
    <row r="1382" spans="4:6">
      <c r="D1382" s="283">
        <v>6274</v>
      </c>
      <c r="E1382" s="20"/>
      <c r="F1382" s="222"/>
    </row>
    <row r="1383" spans="4:6">
      <c r="D1383" s="283">
        <v>6275</v>
      </c>
      <c r="E1383" s="20"/>
      <c r="F1383" s="222"/>
    </row>
    <row r="1384" spans="4:6">
      <c r="D1384" s="283">
        <v>6276</v>
      </c>
      <c r="E1384" s="20"/>
      <c r="F1384" s="222"/>
    </row>
    <row r="1385" spans="4:6">
      <c r="D1385" s="283">
        <v>6279</v>
      </c>
      <c r="E1385" s="20"/>
      <c r="F1385" s="222"/>
    </row>
    <row r="1386" spans="4:6">
      <c r="D1386" s="283">
        <v>6284</v>
      </c>
      <c r="E1386" s="20"/>
      <c r="F1386" s="222"/>
    </row>
    <row r="1387" spans="4:6">
      <c r="D1387" s="283">
        <v>6287</v>
      </c>
      <c r="E1387" s="20"/>
      <c r="F1387" s="222"/>
    </row>
    <row r="1388" spans="4:6">
      <c r="D1388" s="283">
        <v>6290</v>
      </c>
      <c r="E1388" s="20"/>
      <c r="F1388" s="222"/>
    </row>
    <row r="1389" spans="4:6">
      <c r="D1389" s="283">
        <v>6291</v>
      </c>
      <c r="E1389" s="20"/>
      <c r="F1389" s="222"/>
    </row>
    <row r="1390" spans="4:6">
      <c r="D1390" s="283">
        <v>6292</v>
      </c>
      <c r="E1390" s="20"/>
      <c r="F1390" s="222"/>
    </row>
    <row r="1391" spans="4:6">
      <c r="D1391" s="283">
        <v>6294</v>
      </c>
      <c r="E1391" s="20"/>
      <c r="F1391" s="222"/>
    </row>
    <row r="1392" spans="4:6">
      <c r="D1392" s="283">
        <v>6298</v>
      </c>
      <c r="E1392" s="20"/>
      <c r="F1392" s="222"/>
    </row>
    <row r="1393" spans="4:6">
      <c r="D1393" s="283">
        <v>6404</v>
      </c>
      <c r="E1393" s="20"/>
      <c r="F1393" s="222"/>
    </row>
    <row r="1394" spans="4:6">
      <c r="D1394" s="283">
        <v>6411</v>
      </c>
      <c r="E1394" s="20"/>
      <c r="F1394" s="222"/>
    </row>
    <row r="1395" spans="4:6">
      <c r="D1395" s="283">
        <v>6417</v>
      </c>
      <c r="E1395" s="20"/>
      <c r="F1395" s="222"/>
    </row>
    <row r="1396" spans="4:6">
      <c r="D1396" s="283">
        <v>6419</v>
      </c>
      <c r="E1396" s="20"/>
      <c r="F1396" s="222"/>
    </row>
    <row r="1397" spans="4:6">
      <c r="D1397" s="283">
        <v>6426</v>
      </c>
      <c r="E1397" s="20"/>
      <c r="F1397" s="222"/>
    </row>
    <row r="1398" spans="4:6">
      <c r="D1398" s="283">
        <v>6432</v>
      </c>
      <c r="E1398" s="20"/>
      <c r="F1398" s="222"/>
    </row>
    <row r="1399" spans="4:6">
      <c r="D1399" s="283">
        <v>6457</v>
      </c>
      <c r="E1399" s="20"/>
      <c r="F1399" s="222"/>
    </row>
    <row r="1400" spans="4:6">
      <c r="D1400" s="283">
        <v>6488</v>
      </c>
      <c r="E1400" s="20"/>
      <c r="F1400" s="222"/>
    </row>
    <row r="1401" spans="4:6">
      <c r="D1401" s="283">
        <v>6506</v>
      </c>
      <c r="E1401" s="20"/>
      <c r="F1401" s="222"/>
    </row>
    <row r="1402" spans="4:6">
      <c r="D1402" s="283">
        <v>6508</v>
      </c>
      <c r="E1402" s="20"/>
      <c r="F1402" s="222"/>
    </row>
    <row r="1403" spans="4:6">
      <c r="D1403" s="283">
        <v>6509</v>
      </c>
      <c r="E1403" s="20"/>
      <c r="F1403" s="222"/>
    </row>
    <row r="1404" spans="4:6">
      <c r="D1404" s="283">
        <v>6603</v>
      </c>
      <c r="E1404" s="20"/>
      <c r="F1404" s="222"/>
    </row>
    <row r="1405" spans="4:6">
      <c r="D1405" s="283">
        <v>6609</v>
      </c>
      <c r="E1405" s="20"/>
      <c r="F1405" s="222"/>
    </row>
    <row r="1406" spans="4:6">
      <c r="D1406" s="283">
        <v>6803</v>
      </c>
      <c r="E1406" s="20"/>
      <c r="F1406" s="222"/>
    </row>
    <row r="1407" spans="4:6">
      <c r="D1407" s="283">
        <v>8024</v>
      </c>
      <c r="E1407" s="20"/>
      <c r="F1407" s="222"/>
    </row>
    <row r="1408" spans="4:6">
      <c r="D1408" s="283">
        <v>8027</v>
      </c>
      <c r="E1408" s="20"/>
      <c r="F1408" s="222"/>
    </row>
    <row r="1409" spans="4:6">
      <c r="D1409" s="283">
        <v>8032</v>
      </c>
      <c r="E1409" s="20"/>
      <c r="F1409" s="222"/>
    </row>
    <row r="1410" spans="4:6">
      <c r="D1410" s="283">
        <v>8034</v>
      </c>
      <c r="E1410" s="20"/>
      <c r="F1410" s="222"/>
    </row>
    <row r="1411" spans="4:6">
      <c r="D1411" s="283">
        <v>8038</v>
      </c>
      <c r="E1411" s="20"/>
      <c r="F1411" s="222"/>
    </row>
    <row r="1412" spans="4:6">
      <c r="D1412" s="283">
        <v>8040</v>
      </c>
      <c r="E1412" s="20"/>
      <c r="F1412" s="222"/>
    </row>
    <row r="1413" spans="4:6">
      <c r="D1413" s="283">
        <v>8042</v>
      </c>
      <c r="E1413" s="20"/>
      <c r="F1413" s="222"/>
    </row>
    <row r="1414" spans="4:6">
      <c r="D1414" s="283">
        <v>8043</v>
      </c>
      <c r="E1414" s="20"/>
      <c r="F1414" s="222"/>
    </row>
    <row r="1415" spans="4:6">
      <c r="D1415" s="283">
        <v>8044</v>
      </c>
      <c r="E1415" s="20"/>
      <c r="F1415" s="222"/>
    </row>
    <row r="1416" spans="4:6">
      <c r="D1416" s="283">
        <v>8047</v>
      </c>
      <c r="E1416" s="20"/>
      <c r="F1416" s="222"/>
    </row>
    <row r="1417" spans="4:6">
      <c r="D1417" s="283">
        <v>8048</v>
      </c>
      <c r="E1417" s="20"/>
      <c r="F1417" s="222"/>
    </row>
    <row r="1418" spans="4:6">
      <c r="D1418" s="283">
        <v>8049</v>
      </c>
      <c r="E1418" s="20"/>
      <c r="F1418" s="222"/>
    </row>
    <row r="1419" spans="4:6">
      <c r="D1419" s="283">
        <v>8050</v>
      </c>
      <c r="E1419" s="20"/>
      <c r="F1419" s="222"/>
    </row>
    <row r="1420" spans="4:6">
      <c r="D1420" s="283">
        <v>8053</v>
      </c>
      <c r="E1420" s="20"/>
      <c r="F1420" s="222"/>
    </row>
    <row r="1421" spans="4:6">
      <c r="D1421" s="283">
        <v>8054</v>
      </c>
      <c r="E1421" s="20"/>
      <c r="F1421" s="222"/>
    </row>
    <row r="1422" spans="4:6">
      <c r="D1422" s="283">
        <v>8059</v>
      </c>
      <c r="E1422" s="20"/>
      <c r="F1422" s="222"/>
    </row>
    <row r="1423" spans="4:6">
      <c r="D1423" s="283">
        <v>8064</v>
      </c>
      <c r="E1423" s="20"/>
      <c r="F1423" s="222"/>
    </row>
    <row r="1424" spans="4:6">
      <c r="D1424" s="283">
        <v>8066</v>
      </c>
      <c r="E1424" s="20"/>
      <c r="F1424" s="222"/>
    </row>
    <row r="1425" spans="4:6">
      <c r="D1425" s="283">
        <v>8067</v>
      </c>
      <c r="E1425" s="20"/>
      <c r="F1425" s="222"/>
    </row>
    <row r="1426" spans="4:6">
      <c r="D1426" s="283">
        <v>8068</v>
      </c>
      <c r="E1426" s="20"/>
      <c r="F1426" s="222"/>
    </row>
    <row r="1427" spans="4:6">
      <c r="D1427" s="283">
        <v>8069</v>
      </c>
      <c r="E1427" s="20"/>
      <c r="F1427" s="222"/>
    </row>
    <row r="1428" spans="4:6">
      <c r="D1428" s="283">
        <v>8071</v>
      </c>
      <c r="E1428" s="20"/>
      <c r="F1428" s="222"/>
    </row>
    <row r="1429" spans="4:6">
      <c r="D1429" s="283">
        <v>8074</v>
      </c>
      <c r="E1429" s="20"/>
      <c r="F1429" s="222"/>
    </row>
    <row r="1430" spans="4:6">
      <c r="D1430" s="283">
        <v>8076</v>
      </c>
      <c r="E1430" s="20"/>
      <c r="F1430" s="222"/>
    </row>
    <row r="1431" spans="4:6">
      <c r="D1431" s="283">
        <v>8077</v>
      </c>
      <c r="E1431" s="20"/>
      <c r="F1431" s="222"/>
    </row>
    <row r="1432" spans="4:6">
      <c r="D1432" s="283">
        <v>8079</v>
      </c>
      <c r="E1432" s="20"/>
      <c r="F1432" s="222"/>
    </row>
    <row r="1433" spans="4:6">
      <c r="D1433" s="283">
        <v>8080</v>
      </c>
      <c r="E1433" s="20"/>
      <c r="F1433" s="222"/>
    </row>
    <row r="1434" spans="4:6">
      <c r="D1434" s="283">
        <v>8082</v>
      </c>
      <c r="E1434" s="20"/>
      <c r="F1434" s="222"/>
    </row>
    <row r="1435" spans="4:6">
      <c r="D1435" s="283">
        <v>8083</v>
      </c>
      <c r="E1435" s="20"/>
      <c r="F1435" s="222"/>
    </row>
    <row r="1436" spans="4:6">
      <c r="D1436" s="283">
        <v>8084</v>
      </c>
      <c r="E1436" s="20"/>
      <c r="F1436" s="222"/>
    </row>
    <row r="1437" spans="4:6">
      <c r="D1437" s="283">
        <v>8085</v>
      </c>
      <c r="E1437" s="20"/>
      <c r="F1437" s="222"/>
    </row>
    <row r="1438" spans="4:6">
      <c r="D1438" s="283">
        <v>8086</v>
      </c>
      <c r="E1438" s="20"/>
      <c r="F1438" s="222"/>
    </row>
    <row r="1439" spans="4:6">
      <c r="D1439" s="283">
        <v>8087</v>
      </c>
      <c r="E1439" s="20"/>
      <c r="F1439" s="222"/>
    </row>
    <row r="1440" spans="4:6">
      <c r="D1440" s="283">
        <v>8088</v>
      </c>
      <c r="E1440" s="20"/>
      <c r="F1440" s="222"/>
    </row>
    <row r="1441" spans="4:6">
      <c r="D1441" s="283">
        <v>8091</v>
      </c>
      <c r="E1441" s="20"/>
      <c r="F1441" s="222"/>
    </row>
    <row r="1442" spans="4:6">
      <c r="D1442" s="283">
        <v>8092</v>
      </c>
      <c r="E1442" s="20"/>
      <c r="F1442" s="222"/>
    </row>
    <row r="1443" spans="4:6">
      <c r="D1443" s="283">
        <v>8093</v>
      </c>
      <c r="E1443" s="20"/>
      <c r="F1443" s="222"/>
    </row>
    <row r="1444" spans="4:6">
      <c r="D1444" s="283">
        <v>8096</v>
      </c>
      <c r="E1444" s="20"/>
      <c r="F1444" s="222"/>
    </row>
    <row r="1445" spans="4:6">
      <c r="D1445" s="283">
        <v>8097</v>
      </c>
      <c r="E1445" s="20"/>
      <c r="F1445" s="222"/>
    </row>
    <row r="1446" spans="4:6">
      <c r="D1446" s="283">
        <v>8099</v>
      </c>
      <c r="E1446" s="20"/>
      <c r="F1446" s="222"/>
    </row>
    <row r="1447" spans="4:6">
      <c r="D1447" s="283">
        <v>8107</v>
      </c>
      <c r="E1447" s="20"/>
      <c r="F1447" s="222"/>
    </row>
    <row r="1448" spans="4:6">
      <c r="D1448" s="283">
        <v>8109</v>
      </c>
      <c r="E1448" s="20"/>
      <c r="F1448" s="222"/>
    </row>
    <row r="1449" spans="4:6">
      <c r="D1449" s="283">
        <v>8111</v>
      </c>
      <c r="E1449" s="20"/>
      <c r="F1449" s="222"/>
    </row>
    <row r="1450" spans="4:6">
      <c r="D1450" s="283">
        <v>8121</v>
      </c>
      <c r="E1450" s="20"/>
      <c r="F1450" s="222"/>
    </row>
    <row r="1451" spans="4:6">
      <c r="D1451" s="283">
        <v>8147</v>
      </c>
      <c r="E1451" s="20"/>
      <c r="F1451" s="222"/>
    </row>
    <row r="1452" spans="4:6">
      <c r="D1452" s="283">
        <v>8155</v>
      </c>
      <c r="E1452" s="20"/>
      <c r="F1452" s="222"/>
    </row>
    <row r="1453" spans="4:6">
      <c r="D1453" s="283">
        <v>8171</v>
      </c>
      <c r="E1453" s="20"/>
      <c r="F1453" s="222"/>
    </row>
    <row r="1454" spans="4:6">
      <c r="D1454" s="283">
        <v>8176</v>
      </c>
      <c r="E1454" s="20"/>
      <c r="F1454" s="222"/>
    </row>
    <row r="1455" spans="4:6">
      <c r="D1455" s="283">
        <v>8182</v>
      </c>
      <c r="E1455" s="20"/>
      <c r="F1455" s="222"/>
    </row>
    <row r="1456" spans="4:6">
      <c r="D1456" s="283">
        <v>8183</v>
      </c>
      <c r="E1456" s="20"/>
      <c r="F1456" s="222"/>
    </row>
    <row r="1457" spans="4:6">
      <c r="D1457" s="283">
        <v>8234</v>
      </c>
      <c r="E1457" s="20"/>
      <c r="F1457" s="222"/>
    </row>
    <row r="1458" spans="4:6">
      <c r="D1458" s="283">
        <v>8240</v>
      </c>
      <c r="E1458" s="20"/>
      <c r="F1458" s="222"/>
    </row>
    <row r="1459" spans="4:6">
      <c r="D1459" s="283">
        <v>8255</v>
      </c>
      <c r="E1459" s="20"/>
      <c r="F1459" s="222"/>
    </row>
    <row r="1460" spans="4:6">
      <c r="D1460" s="283">
        <v>8266</v>
      </c>
      <c r="E1460" s="20"/>
      <c r="F1460" s="222"/>
    </row>
    <row r="1461" spans="4:6">
      <c r="D1461" s="283">
        <v>8277</v>
      </c>
      <c r="E1461" s="20"/>
      <c r="F1461" s="222"/>
    </row>
    <row r="1462" spans="4:6">
      <c r="D1462" s="283">
        <v>8287</v>
      </c>
      <c r="E1462" s="20"/>
      <c r="F1462" s="222"/>
    </row>
    <row r="1463" spans="4:6">
      <c r="D1463" s="283">
        <v>8289</v>
      </c>
      <c r="E1463" s="20"/>
      <c r="F1463" s="222"/>
    </row>
    <row r="1464" spans="4:6">
      <c r="D1464" s="283">
        <v>8291</v>
      </c>
      <c r="E1464" s="20"/>
      <c r="F1464" s="222"/>
    </row>
    <row r="1465" spans="4:6">
      <c r="D1465" s="283">
        <v>8299</v>
      </c>
      <c r="E1465" s="20"/>
      <c r="F1465" s="222"/>
    </row>
    <row r="1466" spans="4:6">
      <c r="D1466" s="283">
        <v>8349</v>
      </c>
      <c r="E1466" s="20"/>
      <c r="F1466" s="222"/>
    </row>
    <row r="1467" spans="4:6">
      <c r="D1467" s="283">
        <v>8354</v>
      </c>
      <c r="E1467" s="20"/>
      <c r="F1467" s="222"/>
    </row>
    <row r="1468" spans="4:6">
      <c r="D1468" s="283">
        <v>8358</v>
      </c>
      <c r="E1468" s="20"/>
      <c r="F1468" s="222"/>
    </row>
    <row r="1469" spans="4:6">
      <c r="D1469" s="283">
        <v>8383</v>
      </c>
      <c r="E1469" s="20"/>
      <c r="F1469" s="222"/>
    </row>
    <row r="1470" spans="4:6">
      <c r="D1470" s="283">
        <v>8390</v>
      </c>
      <c r="E1470" s="20"/>
      <c r="F1470" s="222"/>
    </row>
    <row r="1471" spans="4:6">
      <c r="D1471" s="283">
        <v>8401</v>
      </c>
      <c r="E1471" s="20"/>
      <c r="F1471" s="222"/>
    </row>
    <row r="1472" spans="4:6">
      <c r="D1472" s="283">
        <v>8403</v>
      </c>
      <c r="E1472" s="20"/>
      <c r="F1472" s="222"/>
    </row>
    <row r="1473" spans="4:6">
      <c r="D1473" s="283">
        <v>8406</v>
      </c>
      <c r="E1473" s="20"/>
      <c r="F1473" s="222"/>
    </row>
    <row r="1474" spans="4:6">
      <c r="D1474" s="283">
        <v>8409</v>
      </c>
      <c r="E1474" s="20"/>
      <c r="F1474" s="222"/>
    </row>
    <row r="1475" spans="4:6">
      <c r="D1475" s="283">
        <v>8410</v>
      </c>
      <c r="E1475" s="20"/>
      <c r="F1475" s="222"/>
    </row>
    <row r="1476" spans="4:6">
      <c r="D1476" s="283">
        <v>8416</v>
      </c>
      <c r="E1476" s="20"/>
      <c r="F1476" s="222"/>
    </row>
    <row r="1477" spans="4:6">
      <c r="D1477" s="283">
        <v>8418</v>
      </c>
      <c r="E1477" s="20"/>
      <c r="F1477" s="222"/>
    </row>
    <row r="1478" spans="4:6">
      <c r="D1478" s="283">
        <v>8420</v>
      </c>
      <c r="E1478" s="20"/>
      <c r="F1478" s="222"/>
    </row>
    <row r="1479" spans="4:6">
      <c r="D1479" s="283">
        <v>8421</v>
      </c>
      <c r="E1479" s="20"/>
      <c r="F1479" s="222"/>
    </row>
    <row r="1480" spans="4:6">
      <c r="D1480" s="283">
        <v>8423</v>
      </c>
      <c r="E1480" s="20"/>
      <c r="F1480" s="222"/>
    </row>
    <row r="1481" spans="4:6">
      <c r="D1481" s="283">
        <v>8424</v>
      </c>
      <c r="E1481" s="20"/>
      <c r="F1481" s="222"/>
    </row>
    <row r="1482" spans="4:6">
      <c r="D1482" s="283">
        <v>8426</v>
      </c>
      <c r="E1482" s="20"/>
      <c r="F1482" s="222"/>
    </row>
    <row r="1483" spans="4:6">
      <c r="D1483" s="283">
        <v>8431</v>
      </c>
      <c r="E1483" s="20"/>
      <c r="F1483" s="222"/>
    </row>
    <row r="1484" spans="4:6">
      <c r="D1484" s="283">
        <v>8432</v>
      </c>
      <c r="E1484" s="20"/>
      <c r="F1484" s="222"/>
    </row>
    <row r="1485" spans="4:6">
      <c r="D1485" s="283">
        <v>8433</v>
      </c>
      <c r="E1485" s="20"/>
      <c r="F1485" s="222"/>
    </row>
    <row r="1486" spans="4:6">
      <c r="D1486" s="283">
        <v>8435</v>
      </c>
      <c r="E1486" s="20"/>
      <c r="F1486" s="222"/>
    </row>
    <row r="1487" spans="4:6">
      <c r="D1487" s="283">
        <v>8436</v>
      </c>
      <c r="E1487" s="20"/>
      <c r="F1487" s="222"/>
    </row>
    <row r="1488" spans="4:6">
      <c r="D1488" s="283">
        <v>8437</v>
      </c>
      <c r="E1488" s="20"/>
      <c r="F1488" s="222"/>
    </row>
    <row r="1489" spans="4:6">
      <c r="D1489" s="283">
        <v>8444</v>
      </c>
      <c r="E1489" s="20"/>
      <c r="F1489" s="222"/>
    </row>
    <row r="1490" spans="4:6">
      <c r="D1490" s="283">
        <v>8446</v>
      </c>
      <c r="E1490" s="20"/>
      <c r="F1490" s="222"/>
    </row>
    <row r="1491" spans="4:6">
      <c r="D1491" s="283">
        <v>8450</v>
      </c>
      <c r="E1491" s="20"/>
      <c r="F1491" s="222"/>
    </row>
    <row r="1492" spans="4:6">
      <c r="D1492" s="283">
        <v>8905</v>
      </c>
      <c r="E1492" s="20"/>
      <c r="F1492" s="222"/>
    </row>
    <row r="1493" spans="4:6">
      <c r="D1493" s="283">
        <v>8906</v>
      </c>
      <c r="E1493" s="20"/>
      <c r="F1493" s="222"/>
    </row>
    <row r="1494" spans="4:6">
      <c r="D1494" s="283">
        <v>8908</v>
      </c>
      <c r="E1494" s="20"/>
      <c r="F1494" s="222"/>
    </row>
    <row r="1495" spans="4:6">
      <c r="D1495" s="283">
        <v>8913</v>
      </c>
      <c r="E1495" s="20"/>
      <c r="F1495" s="222"/>
    </row>
    <row r="1496" spans="4:6">
      <c r="D1496" s="283">
        <v>8916</v>
      </c>
      <c r="E1496" s="20"/>
      <c r="F1496" s="222"/>
    </row>
    <row r="1497" spans="4:6">
      <c r="D1497" s="283">
        <v>8917</v>
      </c>
      <c r="E1497" s="20"/>
      <c r="F1497" s="222"/>
    </row>
    <row r="1498" spans="4:6">
      <c r="D1498" s="283">
        <v>8921</v>
      </c>
      <c r="E1498" s="20"/>
      <c r="F1498" s="222"/>
    </row>
    <row r="1499" spans="4:6">
      <c r="D1499" s="283">
        <v>8923</v>
      </c>
      <c r="E1499" s="20"/>
      <c r="F1499" s="222"/>
    </row>
    <row r="1500" spans="4:6">
      <c r="D1500" s="283">
        <v>8924</v>
      </c>
      <c r="E1500" s="20"/>
      <c r="F1500" s="222"/>
    </row>
    <row r="1501" spans="4:6">
      <c r="D1501" s="283">
        <v>8925</v>
      </c>
      <c r="E1501" s="20"/>
      <c r="F1501" s="222"/>
    </row>
    <row r="1502" spans="4:6">
      <c r="D1502" s="283">
        <v>8927</v>
      </c>
      <c r="E1502" s="20"/>
      <c r="F1502" s="222"/>
    </row>
    <row r="1503" spans="4:6">
      <c r="D1503" s="283">
        <v>8928</v>
      </c>
      <c r="E1503" s="20"/>
      <c r="F1503" s="222"/>
    </row>
    <row r="1504" spans="4:6">
      <c r="D1504" s="283">
        <v>8929</v>
      </c>
      <c r="E1504" s="20"/>
      <c r="F1504" s="222"/>
    </row>
    <row r="1505" spans="4:6">
      <c r="D1505" s="283">
        <v>8930</v>
      </c>
      <c r="E1505" s="20"/>
      <c r="F1505" s="222"/>
    </row>
    <row r="1506" spans="4:6">
      <c r="D1506" s="283">
        <v>8931</v>
      </c>
      <c r="E1506" s="20"/>
      <c r="F1506" s="222"/>
    </row>
    <row r="1507" spans="4:6">
      <c r="D1507" s="283">
        <v>8932</v>
      </c>
      <c r="E1507" s="20"/>
      <c r="F1507" s="222"/>
    </row>
    <row r="1508" spans="4:6">
      <c r="D1508" s="283">
        <v>8933</v>
      </c>
      <c r="E1508" s="20"/>
      <c r="F1508" s="222"/>
    </row>
    <row r="1509" spans="4:6">
      <c r="D1509" s="283">
        <v>8934</v>
      </c>
      <c r="E1509" s="20"/>
      <c r="F1509" s="222"/>
    </row>
    <row r="1510" spans="4:6">
      <c r="D1510" s="283">
        <v>8935</v>
      </c>
      <c r="E1510" s="20"/>
      <c r="F1510" s="222"/>
    </row>
    <row r="1511" spans="4:6">
      <c r="D1511" s="283">
        <v>8936</v>
      </c>
      <c r="E1511" s="20"/>
      <c r="F1511" s="222"/>
    </row>
    <row r="1512" spans="4:6">
      <c r="D1512" s="283">
        <v>8937</v>
      </c>
      <c r="E1512" s="20"/>
      <c r="F1512" s="222"/>
    </row>
    <row r="1513" spans="4:6">
      <c r="D1513" s="283">
        <v>8938</v>
      </c>
      <c r="E1513" s="20"/>
      <c r="F1513" s="222"/>
    </row>
    <row r="1514" spans="4:6">
      <c r="D1514" s="283">
        <v>8941</v>
      </c>
      <c r="E1514" s="20"/>
      <c r="F1514" s="222"/>
    </row>
    <row r="1515" spans="4:6">
      <c r="D1515" s="283">
        <v>8942</v>
      </c>
      <c r="E1515" s="20"/>
      <c r="F1515" s="222"/>
    </row>
    <row r="1516" spans="4:6">
      <c r="D1516" s="283">
        <v>9949</v>
      </c>
      <c r="E1516" s="20"/>
      <c r="F1516" s="222"/>
    </row>
    <row r="1517" spans="4:6">
      <c r="D1517" s="283">
        <v>9950</v>
      </c>
      <c r="E1517" s="20"/>
      <c r="F1517" s="222"/>
    </row>
    <row r="1518" spans="4:6">
      <c r="D1518" s="283">
        <v>9951</v>
      </c>
      <c r="E1518" s="20"/>
      <c r="F1518" s="222"/>
    </row>
    <row r="1519" spans="4:6">
      <c r="D1519" s="283">
        <v>9960</v>
      </c>
      <c r="E1519" s="20"/>
      <c r="F1519" s="222"/>
    </row>
    <row r="1520" spans="4:6">
      <c r="D1520" s="283">
        <v>9962</v>
      </c>
      <c r="E1520" s="20"/>
    </row>
  </sheetData>
  <sortState ref="G2:H1520">
    <sortCondition ref="H2:H152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71" r:id="rId4" name="CommandButton2">
          <controlPr defaultSize="0" autoLine="0" autoPict="0" r:id="rId5">
            <anchor moveWithCells="1">
              <from>
                <xdr:col>8</xdr:col>
                <xdr:colOff>161925</xdr:colOff>
                <xdr:row>0</xdr:row>
                <xdr:rowOff>38100</xdr:rowOff>
              </from>
              <to>
                <xdr:col>8</xdr:col>
                <xdr:colOff>1019175</xdr:colOff>
                <xdr:row>1</xdr:row>
                <xdr:rowOff>209550</xdr:rowOff>
              </to>
            </anchor>
          </controlPr>
        </control>
      </mc:Choice>
      <mc:Fallback>
        <control shapeId="32771" r:id="rId4" name="CommandButton2"/>
      </mc:Fallback>
    </mc:AlternateContent>
    <mc:AlternateContent xmlns:mc="http://schemas.openxmlformats.org/markup-compatibility/2006">
      <mc:Choice Requires="x14">
        <control shapeId="32769" r:id="rId6" name="CommandButton1">
          <controlPr defaultSize="0" autoLine="0" r:id="rId7">
            <anchor moveWithCells="1">
              <from>
                <xdr:col>0</xdr:col>
                <xdr:colOff>904875</xdr:colOff>
                <xdr:row>1</xdr:row>
                <xdr:rowOff>9525</xdr:rowOff>
              </from>
              <to>
                <xdr:col>0</xdr:col>
                <xdr:colOff>1181100</xdr:colOff>
                <xdr:row>2</xdr:row>
                <xdr:rowOff>9525</xdr:rowOff>
              </to>
            </anchor>
          </controlPr>
        </control>
      </mc:Choice>
      <mc:Fallback>
        <control shapeId="327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AD1593"/>
  <sheetViews>
    <sheetView workbookViewId="0">
      <pane xSplit="2" ySplit="1" topLeftCell="C8" activePane="bottomRight" state="frozen"/>
      <selection pane="topRight" activeCell="D1" sqref="D1"/>
      <selection pane="bottomLeft" activeCell="A2" sqref="A2"/>
      <selection pane="bottomRight" activeCell="E26" sqref="E26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73">
        <v>42319</v>
      </c>
    </row>
    <row r="2" spans="1:30">
      <c r="A2" t="str">
        <f>"01007T"</f>
        <v>01007T</v>
      </c>
      <c r="B2" t="s">
        <v>1960</v>
      </c>
      <c r="C2">
        <v>15.4</v>
      </c>
    </row>
    <row r="3" spans="1:30">
      <c r="A3">
        <v>1101</v>
      </c>
      <c r="B3" t="s">
        <v>550</v>
      </c>
      <c r="C3">
        <v>34.5</v>
      </c>
    </row>
    <row r="4" spans="1:30">
      <c r="A4">
        <v>1102</v>
      </c>
      <c r="B4" t="s">
        <v>551</v>
      </c>
      <c r="C4">
        <v>32.75</v>
      </c>
    </row>
    <row r="5" spans="1:30">
      <c r="A5">
        <v>1103</v>
      </c>
      <c r="B5" t="s">
        <v>552</v>
      </c>
      <c r="C5">
        <v>10.35</v>
      </c>
      <c r="Y5" s="46"/>
      <c r="Z5" s="46"/>
      <c r="AD5" s="46"/>
    </row>
    <row r="6" spans="1:30">
      <c r="A6">
        <v>1104</v>
      </c>
      <c r="B6" t="s">
        <v>553</v>
      </c>
      <c r="C6">
        <v>23.1</v>
      </c>
      <c r="Y6" s="46"/>
      <c r="Z6" s="46"/>
      <c r="AD6" s="46"/>
    </row>
    <row r="7" spans="1:30">
      <c r="A7">
        <v>1108</v>
      </c>
      <c r="B7" t="s">
        <v>554</v>
      </c>
      <c r="C7">
        <v>10.1</v>
      </c>
      <c r="Y7" s="46"/>
      <c r="Z7" s="46"/>
      <c r="AD7" s="46"/>
    </row>
    <row r="8" spans="1:30">
      <c r="A8">
        <v>1109</v>
      </c>
      <c r="B8" t="s">
        <v>1857</v>
      </c>
      <c r="C8">
        <v>10.1</v>
      </c>
      <c r="Y8" s="46"/>
      <c r="Z8" s="46"/>
      <c r="AD8" s="46"/>
    </row>
    <row r="9" spans="1:30">
      <c r="A9">
        <v>1110</v>
      </c>
      <c r="B9" t="s">
        <v>555</v>
      </c>
      <c r="C9">
        <v>15.25</v>
      </c>
      <c r="Y9" s="46"/>
      <c r="Z9" s="46"/>
      <c r="AD9" s="46"/>
    </row>
    <row r="10" spans="1:30">
      <c r="A10">
        <v>1201</v>
      </c>
      <c r="B10" t="s">
        <v>556</v>
      </c>
      <c r="C10">
        <v>19.5</v>
      </c>
      <c r="Y10" s="46"/>
      <c r="Z10" s="46"/>
      <c r="AD10" s="46"/>
    </row>
    <row r="11" spans="1:30">
      <c r="A11">
        <v>1203</v>
      </c>
      <c r="B11" t="s">
        <v>557</v>
      </c>
      <c r="C11">
        <v>21.9</v>
      </c>
      <c r="Y11" s="46"/>
      <c r="Z11" s="46"/>
      <c r="AD11" s="46"/>
    </row>
    <row r="12" spans="1:30">
      <c r="A12">
        <v>1210</v>
      </c>
      <c r="B12" t="s">
        <v>558</v>
      </c>
      <c r="C12">
        <v>19.100000000000001</v>
      </c>
      <c r="Y12" s="46"/>
      <c r="Z12" s="46"/>
      <c r="AD12" s="46"/>
    </row>
    <row r="13" spans="1:30">
      <c r="A13">
        <v>1213</v>
      </c>
      <c r="B13" t="s">
        <v>559</v>
      </c>
      <c r="C13">
        <v>15.8</v>
      </c>
      <c r="Y13" s="46"/>
      <c r="Z13" s="46"/>
      <c r="AA13" s="46"/>
      <c r="AD13" s="46"/>
    </row>
    <row r="14" spans="1:30">
      <c r="A14">
        <v>1215</v>
      </c>
      <c r="B14" t="s">
        <v>560</v>
      </c>
      <c r="C14">
        <v>21.3</v>
      </c>
      <c r="Y14" s="46"/>
      <c r="Z14" s="46"/>
      <c r="AD14" s="46"/>
    </row>
    <row r="15" spans="1:30">
      <c r="A15">
        <v>1216</v>
      </c>
      <c r="B15" t="s">
        <v>561</v>
      </c>
      <c r="C15">
        <v>54.5</v>
      </c>
      <c r="Y15" s="46"/>
      <c r="Z15" s="46"/>
      <c r="AD15" s="46"/>
    </row>
    <row r="16" spans="1:30">
      <c r="A16">
        <v>1217</v>
      </c>
      <c r="B16" t="s">
        <v>562</v>
      </c>
      <c r="C16">
        <v>6.63</v>
      </c>
      <c r="Y16" s="46"/>
      <c r="Z16" s="46"/>
      <c r="AD16" s="46"/>
    </row>
    <row r="17" spans="1:30">
      <c r="A17">
        <v>1218</v>
      </c>
      <c r="B17" t="s">
        <v>563</v>
      </c>
      <c r="C17">
        <v>10.35</v>
      </c>
      <c r="Y17" s="46"/>
      <c r="Z17" s="46"/>
      <c r="AD17" s="46"/>
    </row>
    <row r="18" spans="1:30">
      <c r="A18">
        <v>1219</v>
      </c>
      <c r="B18" t="s">
        <v>564</v>
      </c>
      <c r="C18">
        <v>14.75</v>
      </c>
      <c r="Y18" s="46"/>
      <c r="Z18" s="46"/>
      <c r="AD18" s="46"/>
    </row>
    <row r="19" spans="1:30">
      <c r="A19">
        <v>1220</v>
      </c>
      <c r="B19" t="s">
        <v>565</v>
      </c>
      <c r="C19">
        <v>10.1</v>
      </c>
      <c r="Y19" s="46"/>
      <c r="Z19" s="46"/>
      <c r="AD19" s="46"/>
    </row>
    <row r="20" spans="1:30">
      <c r="A20">
        <v>1225</v>
      </c>
      <c r="B20" t="s">
        <v>566</v>
      </c>
      <c r="C20">
        <v>24.8</v>
      </c>
      <c r="Y20" s="46"/>
      <c r="Z20" s="46"/>
      <c r="AD20" s="46"/>
    </row>
    <row r="21" spans="1:30">
      <c r="A21">
        <v>1227</v>
      </c>
      <c r="B21" t="s">
        <v>567</v>
      </c>
      <c r="C21">
        <v>74.599999999999994</v>
      </c>
      <c r="Y21" s="46"/>
      <c r="Z21" s="46"/>
      <c r="AD21" s="46"/>
    </row>
    <row r="22" spans="1:30">
      <c r="A22">
        <v>1229</v>
      </c>
      <c r="B22" t="s">
        <v>568</v>
      </c>
      <c r="C22">
        <v>19.3</v>
      </c>
      <c r="Y22" s="46"/>
      <c r="Z22" s="46"/>
      <c r="AD22" s="46"/>
    </row>
    <row r="23" spans="1:30">
      <c r="A23">
        <v>1231</v>
      </c>
      <c r="B23" t="s">
        <v>569</v>
      </c>
      <c r="C23">
        <v>27.25</v>
      </c>
      <c r="Y23" s="46"/>
      <c r="Z23" s="46"/>
      <c r="AA23" s="46"/>
      <c r="AD23" s="46"/>
    </row>
    <row r="24" spans="1:30">
      <c r="A24">
        <v>1232</v>
      </c>
      <c r="B24" t="s">
        <v>570</v>
      </c>
      <c r="C24">
        <v>74.400000000000006</v>
      </c>
      <c r="Y24" s="46"/>
      <c r="Z24" s="46"/>
      <c r="AD24" s="46"/>
    </row>
    <row r="25" spans="1:30">
      <c r="A25">
        <v>1233</v>
      </c>
      <c r="B25" t="s">
        <v>571</v>
      </c>
      <c r="C25">
        <v>38.6</v>
      </c>
      <c r="Y25" s="46"/>
      <c r="Z25" s="46"/>
      <c r="AA25" s="46"/>
      <c r="AD25" s="46"/>
    </row>
    <row r="26" spans="1:30">
      <c r="A26">
        <v>1234</v>
      </c>
      <c r="B26" t="s">
        <v>572</v>
      </c>
      <c r="C26">
        <v>32.299999999999997</v>
      </c>
      <c r="Y26" s="46"/>
      <c r="Z26" s="46"/>
      <c r="AD26" s="46"/>
    </row>
    <row r="27" spans="1:30">
      <c r="A27">
        <v>1235</v>
      </c>
      <c r="B27" t="s">
        <v>573</v>
      </c>
      <c r="C27">
        <v>18.2</v>
      </c>
      <c r="Y27" s="46"/>
      <c r="Z27" s="46"/>
      <c r="AD27" s="46"/>
    </row>
    <row r="28" spans="1:30">
      <c r="A28">
        <v>1236</v>
      </c>
      <c r="B28" t="s">
        <v>574</v>
      </c>
      <c r="C28">
        <v>20.85</v>
      </c>
      <c r="Y28" s="46"/>
      <c r="Z28" s="46"/>
      <c r="AA28" s="46"/>
      <c r="AD28" s="46"/>
    </row>
    <row r="29" spans="1:30">
      <c r="A29">
        <v>1262</v>
      </c>
      <c r="B29" t="s">
        <v>575</v>
      </c>
      <c r="C29">
        <v>128</v>
      </c>
      <c r="Y29" s="46"/>
      <c r="Z29" s="46"/>
      <c r="AD29" s="46"/>
    </row>
    <row r="30" spans="1:30">
      <c r="A30">
        <v>1301</v>
      </c>
      <c r="B30" t="s">
        <v>576</v>
      </c>
      <c r="C30">
        <v>75.2</v>
      </c>
      <c r="Y30" s="46"/>
      <c r="Z30" s="46"/>
      <c r="AD30" s="46"/>
    </row>
    <row r="31" spans="1:30">
      <c r="A31">
        <v>1303</v>
      </c>
      <c r="B31" t="s">
        <v>577</v>
      </c>
      <c r="C31">
        <v>61.4</v>
      </c>
      <c r="Y31" s="46"/>
      <c r="Z31" s="46"/>
      <c r="AD31" s="46"/>
    </row>
    <row r="32" spans="1:30">
      <c r="A32">
        <v>1304</v>
      </c>
      <c r="B32" t="s">
        <v>578</v>
      </c>
      <c r="C32">
        <v>13.6</v>
      </c>
      <c r="Y32" s="46"/>
      <c r="Z32" s="46"/>
      <c r="AA32" s="46"/>
      <c r="AD32" s="46"/>
    </row>
    <row r="33" spans="1:30">
      <c r="A33">
        <v>1305</v>
      </c>
      <c r="B33" t="s">
        <v>579</v>
      </c>
      <c r="C33">
        <v>16</v>
      </c>
      <c r="Y33" s="46"/>
      <c r="Z33" s="46"/>
      <c r="AA33" s="46"/>
      <c r="AD33" s="46"/>
    </row>
    <row r="34" spans="1:30">
      <c r="A34">
        <v>1307</v>
      </c>
      <c r="B34" t="s">
        <v>580</v>
      </c>
      <c r="C34">
        <v>38.799999999999997</v>
      </c>
      <c r="Y34" s="46"/>
      <c r="Z34" s="46"/>
      <c r="AD34" s="46"/>
    </row>
    <row r="35" spans="1:30">
      <c r="A35">
        <v>1308</v>
      </c>
      <c r="B35" t="s">
        <v>581</v>
      </c>
      <c r="C35">
        <v>18.649999999999999</v>
      </c>
      <c r="Y35" s="46"/>
      <c r="Z35" s="46"/>
      <c r="AA35" s="46"/>
      <c r="AD35" s="46"/>
    </row>
    <row r="36" spans="1:30">
      <c r="A36">
        <v>1309</v>
      </c>
      <c r="B36" t="s">
        <v>582</v>
      </c>
      <c r="C36">
        <v>8.7200000000000006</v>
      </c>
      <c r="Y36" s="46"/>
      <c r="Z36" s="46"/>
      <c r="AD36" s="46"/>
    </row>
    <row r="37" spans="1:30">
      <c r="A37">
        <v>1310</v>
      </c>
      <c r="B37" t="s">
        <v>583</v>
      </c>
      <c r="C37">
        <v>13.95</v>
      </c>
      <c r="Y37" s="46"/>
      <c r="Z37" s="46"/>
      <c r="AD37" s="46"/>
    </row>
    <row r="38" spans="1:30">
      <c r="A38">
        <v>1312</v>
      </c>
      <c r="B38" t="s">
        <v>584</v>
      </c>
      <c r="C38">
        <v>15.55</v>
      </c>
      <c r="Y38" s="46"/>
      <c r="Z38" s="46"/>
      <c r="AD38" s="46"/>
    </row>
    <row r="39" spans="1:30">
      <c r="A39" t="s">
        <v>262</v>
      </c>
      <c r="B39" t="s">
        <v>585</v>
      </c>
      <c r="C39">
        <v>21.85</v>
      </c>
      <c r="Y39" s="46"/>
      <c r="Z39" s="46"/>
      <c r="AD39" s="46"/>
    </row>
    <row r="40" spans="1:30">
      <c r="A40">
        <v>1313</v>
      </c>
      <c r="B40" t="s">
        <v>586</v>
      </c>
      <c r="C40">
        <v>9.02</v>
      </c>
      <c r="Y40" s="46"/>
      <c r="Z40" s="46"/>
      <c r="AD40" s="46"/>
    </row>
    <row r="41" spans="1:30">
      <c r="A41">
        <v>1314</v>
      </c>
      <c r="B41" t="s">
        <v>587</v>
      </c>
      <c r="C41">
        <v>8.25</v>
      </c>
      <c r="Y41" s="46"/>
      <c r="Z41" s="46"/>
      <c r="AD41" s="46"/>
    </row>
    <row r="42" spans="1:30">
      <c r="A42">
        <v>1315</v>
      </c>
      <c r="B42" t="s">
        <v>588</v>
      </c>
      <c r="C42">
        <v>23.7</v>
      </c>
      <c r="Y42" s="46"/>
      <c r="Z42" s="46"/>
      <c r="AD42" s="46"/>
    </row>
    <row r="43" spans="1:30">
      <c r="A43">
        <v>1316</v>
      </c>
      <c r="B43" t="s">
        <v>589</v>
      </c>
      <c r="C43">
        <v>10</v>
      </c>
      <c r="Y43" s="46"/>
      <c r="Z43" s="46"/>
      <c r="AD43" s="46"/>
    </row>
    <row r="44" spans="1:30">
      <c r="A44">
        <v>1319</v>
      </c>
      <c r="B44" t="s">
        <v>590</v>
      </c>
      <c r="C44">
        <v>36.1</v>
      </c>
      <c r="Y44" s="46"/>
      <c r="Z44" s="46"/>
      <c r="AD44" s="46"/>
    </row>
    <row r="45" spans="1:30">
      <c r="A45">
        <v>1321</v>
      </c>
      <c r="B45" t="s">
        <v>591</v>
      </c>
      <c r="C45">
        <v>28.5</v>
      </c>
      <c r="Y45" s="46"/>
      <c r="Z45" s="46"/>
      <c r="AD45" s="46"/>
    </row>
    <row r="46" spans="1:30">
      <c r="A46">
        <v>1323</v>
      </c>
      <c r="B46" t="s">
        <v>592</v>
      </c>
      <c r="C46">
        <v>26.2</v>
      </c>
      <c r="Y46" s="46"/>
      <c r="Z46" s="46"/>
      <c r="AD46" s="46"/>
    </row>
    <row r="47" spans="1:30">
      <c r="A47">
        <v>1324</v>
      </c>
      <c r="B47" t="s">
        <v>593</v>
      </c>
      <c r="C47">
        <v>10.95</v>
      </c>
      <c r="Y47" s="46"/>
      <c r="Z47" s="46"/>
      <c r="AA47" s="46"/>
      <c r="AD47" s="46"/>
    </row>
    <row r="48" spans="1:30">
      <c r="A48">
        <v>1325</v>
      </c>
      <c r="B48" t="s">
        <v>594</v>
      </c>
      <c r="C48">
        <v>20.350000000000001</v>
      </c>
      <c r="Y48" s="46"/>
      <c r="Z48" s="46"/>
      <c r="AD48" s="46"/>
    </row>
    <row r="49" spans="1:30">
      <c r="A49">
        <v>1326</v>
      </c>
      <c r="B49" t="s">
        <v>595</v>
      </c>
      <c r="C49">
        <v>71.8</v>
      </c>
      <c r="Y49" s="46"/>
      <c r="Z49" s="46"/>
      <c r="AD49" s="46"/>
    </row>
    <row r="50" spans="1:30">
      <c r="A50">
        <v>1337</v>
      </c>
      <c r="B50" t="s">
        <v>596</v>
      </c>
      <c r="C50">
        <v>22.05</v>
      </c>
      <c r="Y50" s="46"/>
      <c r="Z50" s="46"/>
      <c r="AD50" s="46"/>
    </row>
    <row r="51" spans="1:30">
      <c r="A51">
        <v>1338</v>
      </c>
      <c r="B51" t="s">
        <v>597</v>
      </c>
      <c r="C51">
        <v>122</v>
      </c>
      <c r="Y51" s="46"/>
      <c r="Z51" s="46"/>
      <c r="AD51" s="46"/>
    </row>
    <row r="52" spans="1:30">
      <c r="A52">
        <v>1339</v>
      </c>
      <c r="B52" t="s">
        <v>598</v>
      </c>
      <c r="C52">
        <v>68</v>
      </c>
      <c r="Y52" s="46"/>
      <c r="Z52" s="46"/>
      <c r="AD52" s="46"/>
    </row>
    <row r="53" spans="1:30">
      <c r="A53">
        <v>1340</v>
      </c>
      <c r="B53" t="s">
        <v>599</v>
      </c>
      <c r="C53">
        <v>74</v>
      </c>
      <c r="Y53" s="46"/>
      <c r="Z53" s="46"/>
      <c r="AD53" s="46"/>
    </row>
    <row r="54" spans="1:30">
      <c r="A54">
        <v>1402</v>
      </c>
      <c r="B54" t="s">
        <v>600</v>
      </c>
      <c r="C54">
        <v>28.45</v>
      </c>
      <c r="Y54" s="46"/>
      <c r="Z54" s="46"/>
      <c r="AD54" s="46"/>
    </row>
    <row r="55" spans="1:30">
      <c r="A55">
        <v>1409</v>
      </c>
      <c r="B55" t="s">
        <v>601</v>
      </c>
      <c r="C55">
        <v>8.77</v>
      </c>
      <c r="Y55" s="46"/>
      <c r="Z55" s="46"/>
      <c r="AD55" s="46"/>
    </row>
    <row r="56" spans="1:30">
      <c r="A56">
        <v>1410</v>
      </c>
      <c r="B56" t="s">
        <v>602</v>
      </c>
      <c r="C56">
        <v>23.7</v>
      </c>
      <c r="Y56" s="46"/>
      <c r="Z56" s="46"/>
      <c r="AD56" s="46"/>
    </row>
    <row r="57" spans="1:30">
      <c r="A57">
        <v>1413</v>
      </c>
      <c r="B57" t="s">
        <v>603</v>
      </c>
      <c r="C57">
        <v>8.52</v>
      </c>
      <c r="Y57" s="46"/>
      <c r="Z57" s="46"/>
      <c r="AD57" s="46"/>
    </row>
    <row r="58" spans="1:30">
      <c r="A58">
        <v>1414</v>
      </c>
      <c r="B58" t="s">
        <v>604</v>
      </c>
      <c r="C58">
        <v>6.76</v>
      </c>
      <c r="Y58" s="46"/>
      <c r="Z58" s="46"/>
      <c r="AD58" s="46"/>
    </row>
    <row r="59" spans="1:30">
      <c r="A59">
        <v>1416</v>
      </c>
      <c r="B59" t="s">
        <v>605</v>
      </c>
      <c r="C59">
        <v>18.100000000000001</v>
      </c>
      <c r="Y59" s="46"/>
      <c r="Z59" s="46"/>
      <c r="AD59" s="46"/>
    </row>
    <row r="60" spans="1:30">
      <c r="A60">
        <v>1417</v>
      </c>
      <c r="B60" t="s">
        <v>606</v>
      </c>
      <c r="C60">
        <v>5.67</v>
      </c>
      <c r="Y60" s="46"/>
      <c r="Z60" s="46"/>
      <c r="AD60" s="46"/>
    </row>
    <row r="61" spans="1:30">
      <c r="A61">
        <v>1418</v>
      </c>
      <c r="B61" t="s">
        <v>607</v>
      </c>
      <c r="C61" t="s">
        <v>1908</v>
      </c>
      <c r="Y61" s="46"/>
      <c r="Z61" s="46"/>
      <c r="AD61" s="46"/>
    </row>
    <row r="62" spans="1:30">
      <c r="A62">
        <v>1419</v>
      </c>
      <c r="B62" t="s">
        <v>608</v>
      </c>
      <c r="C62">
        <v>38.5</v>
      </c>
      <c r="Y62" s="46"/>
      <c r="Z62" s="46"/>
      <c r="AD62" s="46"/>
    </row>
    <row r="63" spans="1:30">
      <c r="A63">
        <v>1423</v>
      </c>
      <c r="B63" t="s">
        <v>609</v>
      </c>
      <c r="C63">
        <v>7.17</v>
      </c>
      <c r="Y63" s="46"/>
      <c r="Z63" s="46"/>
      <c r="AD63" s="46"/>
    </row>
    <row r="64" spans="1:30">
      <c r="A64">
        <v>1432</v>
      </c>
      <c r="B64" t="s">
        <v>610</v>
      </c>
      <c r="C64">
        <v>20</v>
      </c>
      <c r="Y64" s="46"/>
      <c r="Z64" s="46"/>
      <c r="AD64" s="46"/>
    </row>
    <row r="65" spans="1:30">
      <c r="A65">
        <v>1434</v>
      </c>
      <c r="B65" t="s">
        <v>611</v>
      </c>
      <c r="C65">
        <v>32.450000000000003</v>
      </c>
      <c r="Y65" s="46"/>
      <c r="Z65" s="46"/>
      <c r="AD65" s="46"/>
    </row>
    <row r="66" spans="1:30">
      <c r="A66">
        <v>1435</v>
      </c>
      <c r="B66" t="s">
        <v>612</v>
      </c>
      <c r="C66">
        <v>4.97</v>
      </c>
      <c r="Y66" s="46"/>
      <c r="Z66" s="46"/>
      <c r="AD66" s="46"/>
    </row>
    <row r="67" spans="1:30">
      <c r="A67">
        <v>1436</v>
      </c>
      <c r="B67" t="s">
        <v>613</v>
      </c>
      <c r="C67">
        <v>41.65</v>
      </c>
      <c r="Y67" s="46"/>
      <c r="Z67" s="46"/>
      <c r="AA67" s="46"/>
      <c r="AD67" s="46"/>
    </row>
    <row r="68" spans="1:30">
      <c r="A68">
        <v>1437</v>
      </c>
      <c r="B68" t="s">
        <v>614</v>
      </c>
      <c r="C68">
        <v>12.3</v>
      </c>
      <c r="Y68" s="46"/>
      <c r="Z68" s="46"/>
      <c r="AA68" s="46"/>
      <c r="AD68" s="46"/>
    </row>
    <row r="69" spans="1:30">
      <c r="A69">
        <v>1438</v>
      </c>
      <c r="B69" t="s">
        <v>615</v>
      </c>
      <c r="C69">
        <v>4.7</v>
      </c>
      <c r="Y69" s="46"/>
      <c r="Z69" s="46"/>
      <c r="AD69" s="46"/>
    </row>
    <row r="70" spans="1:30">
      <c r="A70">
        <v>1439</v>
      </c>
      <c r="B70" t="s">
        <v>616</v>
      </c>
      <c r="C70">
        <v>12.8</v>
      </c>
      <c r="Y70" s="46"/>
      <c r="Z70" s="46"/>
      <c r="AD70" s="46"/>
    </row>
    <row r="71" spans="1:30">
      <c r="A71">
        <v>1440</v>
      </c>
      <c r="B71" t="s">
        <v>617</v>
      </c>
      <c r="C71">
        <v>15.25</v>
      </c>
      <c r="Y71" s="46"/>
      <c r="Z71" s="46"/>
      <c r="AD71" s="46"/>
    </row>
    <row r="72" spans="1:30">
      <c r="A72">
        <v>1441</v>
      </c>
      <c r="B72" t="s">
        <v>618</v>
      </c>
      <c r="C72">
        <v>7.55</v>
      </c>
      <c r="Y72" s="46"/>
      <c r="Z72" s="46"/>
      <c r="AD72" s="46"/>
    </row>
    <row r="73" spans="1:30">
      <c r="A73">
        <v>1442</v>
      </c>
      <c r="B73" t="s">
        <v>619</v>
      </c>
      <c r="C73">
        <v>18.850000000000001</v>
      </c>
      <c r="Y73" s="46"/>
      <c r="Z73" s="46"/>
      <c r="AD73" s="46"/>
    </row>
    <row r="74" spans="1:30">
      <c r="A74">
        <v>1443</v>
      </c>
      <c r="B74" t="s">
        <v>620</v>
      </c>
      <c r="C74">
        <v>5.07</v>
      </c>
      <c r="Y74" s="46"/>
      <c r="Z74" s="46"/>
      <c r="AD74" s="46"/>
    </row>
    <row r="75" spans="1:30">
      <c r="A75">
        <v>1444</v>
      </c>
      <c r="B75" t="s">
        <v>621</v>
      </c>
      <c r="C75">
        <v>9.01</v>
      </c>
      <c r="Y75" s="46"/>
      <c r="Z75" s="46"/>
      <c r="AD75" s="46"/>
    </row>
    <row r="76" spans="1:30">
      <c r="A76">
        <v>1445</v>
      </c>
      <c r="B76" t="s">
        <v>622</v>
      </c>
      <c r="C76">
        <v>9.48</v>
      </c>
      <c r="Y76" s="46"/>
      <c r="Z76" s="46"/>
      <c r="AA76" s="46"/>
      <c r="AD76" s="46"/>
    </row>
    <row r="77" spans="1:30">
      <c r="A77">
        <v>1446</v>
      </c>
      <c r="B77" t="s">
        <v>623</v>
      </c>
      <c r="C77">
        <v>20.55</v>
      </c>
      <c r="Y77" s="46"/>
      <c r="Z77" s="46"/>
      <c r="AD77" s="46"/>
    </row>
    <row r="78" spans="1:30">
      <c r="A78">
        <v>1447</v>
      </c>
      <c r="B78" t="s">
        <v>624</v>
      </c>
      <c r="C78">
        <v>8.76</v>
      </c>
      <c r="Y78" s="46"/>
      <c r="Z78" s="46"/>
      <c r="AD78" s="46"/>
    </row>
    <row r="79" spans="1:30">
      <c r="A79">
        <v>1449</v>
      </c>
      <c r="B79" t="s">
        <v>625</v>
      </c>
      <c r="C79">
        <v>7.08</v>
      </c>
      <c r="Y79" s="46"/>
      <c r="Z79" s="46"/>
      <c r="AD79" s="46"/>
    </row>
    <row r="80" spans="1:30">
      <c r="A80">
        <v>1451</v>
      </c>
      <c r="B80" t="s">
        <v>626</v>
      </c>
      <c r="C80">
        <v>21.4</v>
      </c>
      <c r="Y80" s="46"/>
      <c r="Z80" s="46"/>
      <c r="AD80" s="46"/>
    </row>
    <row r="81" spans="1:30">
      <c r="A81">
        <v>1452</v>
      </c>
      <c r="B81" t="s">
        <v>627</v>
      </c>
      <c r="C81">
        <v>25.2</v>
      </c>
      <c r="Y81" s="46"/>
      <c r="Z81" s="46"/>
      <c r="AD81" s="46"/>
    </row>
    <row r="82" spans="1:30">
      <c r="A82">
        <v>1453</v>
      </c>
      <c r="B82" t="s">
        <v>628</v>
      </c>
      <c r="C82">
        <v>8.35</v>
      </c>
      <c r="Y82" s="46"/>
      <c r="Z82" s="46"/>
      <c r="AD82" s="46"/>
    </row>
    <row r="83" spans="1:30">
      <c r="A83">
        <v>1454</v>
      </c>
      <c r="B83" t="s">
        <v>629</v>
      </c>
      <c r="C83">
        <v>9.76</v>
      </c>
      <c r="Y83" s="46"/>
      <c r="Z83" s="46"/>
      <c r="AD83" s="46"/>
    </row>
    <row r="84" spans="1:30">
      <c r="A84">
        <v>1455</v>
      </c>
      <c r="B84" t="s">
        <v>630</v>
      </c>
      <c r="C84">
        <v>9.02</v>
      </c>
      <c r="Y84" s="46"/>
      <c r="Z84" s="46"/>
      <c r="AD84" s="46"/>
    </row>
    <row r="85" spans="1:30">
      <c r="A85">
        <v>1456</v>
      </c>
      <c r="B85" t="s">
        <v>631</v>
      </c>
      <c r="C85">
        <v>4.72</v>
      </c>
      <c r="Y85" s="46"/>
      <c r="Z85" s="46"/>
      <c r="AD85" s="46"/>
    </row>
    <row r="86" spans="1:30">
      <c r="A86">
        <v>1457</v>
      </c>
      <c r="B86" t="s">
        <v>632</v>
      </c>
      <c r="C86">
        <v>13.35</v>
      </c>
      <c r="Y86" s="46"/>
      <c r="Z86" s="46"/>
      <c r="AD86" s="46"/>
    </row>
    <row r="87" spans="1:30">
      <c r="A87">
        <v>1459</v>
      </c>
      <c r="B87" t="s">
        <v>633</v>
      </c>
      <c r="C87">
        <v>11</v>
      </c>
      <c r="Y87" s="46"/>
      <c r="Z87" s="46"/>
      <c r="AA87" s="46"/>
      <c r="AD87" s="46"/>
    </row>
    <row r="88" spans="1:30">
      <c r="A88">
        <v>1460</v>
      </c>
      <c r="B88" t="s">
        <v>634</v>
      </c>
      <c r="C88">
        <v>16.25</v>
      </c>
      <c r="Y88" s="46"/>
      <c r="Z88" s="46"/>
      <c r="AD88" s="46"/>
    </row>
    <row r="89" spans="1:30">
      <c r="A89">
        <v>1463</v>
      </c>
      <c r="B89" t="s">
        <v>635</v>
      </c>
      <c r="C89">
        <v>15.8</v>
      </c>
      <c r="Y89" s="46"/>
      <c r="Z89" s="46"/>
      <c r="AD89" s="46"/>
    </row>
    <row r="90" spans="1:30">
      <c r="A90">
        <v>1464</v>
      </c>
      <c r="B90" t="s">
        <v>636</v>
      </c>
      <c r="C90">
        <v>34.200000000000003</v>
      </c>
      <c r="Y90" s="46"/>
      <c r="Z90" s="46"/>
      <c r="AD90" s="46"/>
    </row>
    <row r="91" spans="1:30">
      <c r="A91">
        <v>1465</v>
      </c>
      <c r="B91" t="s">
        <v>637</v>
      </c>
      <c r="C91">
        <v>13.4</v>
      </c>
      <c r="Y91" s="46"/>
      <c r="Z91" s="46"/>
      <c r="AD91" s="46"/>
    </row>
    <row r="92" spans="1:30">
      <c r="A92">
        <v>1466</v>
      </c>
      <c r="B92" t="s">
        <v>638</v>
      </c>
      <c r="C92">
        <v>16</v>
      </c>
      <c r="Y92" s="46"/>
      <c r="Z92" s="46"/>
      <c r="AD92" s="46"/>
    </row>
    <row r="93" spans="1:30">
      <c r="A93">
        <v>1467</v>
      </c>
      <c r="B93" t="s">
        <v>639</v>
      </c>
      <c r="C93">
        <v>14.75</v>
      </c>
      <c r="Y93" s="46"/>
      <c r="Z93" s="46"/>
      <c r="AD93" s="46"/>
    </row>
    <row r="94" spans="1:30">
      <c r="A94">
        <v>1468</v>
      </c>
      <c r="B94" t="s">
        <v>640</v>
      </c>
      <c r="C94">
        <v>9.6</v>
      </c>
      <c r="Y94" s="46"/>
      <c r="Z94" s="46"/>
      <c r="AA94" s="46"/>
      <c r="AD94" s="46"/>
    </row>
    <row r="95" spans="1:30">
      <c r="A95">
        <v>1469</v>
      </c>
      <c r="B95" t="s">
        <v>641</v>
      </c>
      <c r="C95" t="s">
        <v>1908</v>
      </c>
      <c r="Y95" s="46"/>
      <c r="Z95" s="46"/>
      <c r="AD95" s="46"/>
    </row>
    <row r="96" spans="1:30">
      <c r="A96">
        <v>1470</v>
      </c>
      <c r="B96" t="s">
        <v>642</v>
      </c>
      <c r="C96">
        <v>19.2</v>
      </c>
      <c r="Y96" s="46"/>
      <c r="Z96" s="46"/>
      <c r="AD96" s="46"/>
    </row>
    <row r="97" spans="1:30">
      <c r="A97">
        <v>1471</v>
      </c>
      <c r="B97" t="s">
        <v>643</v>
      </c>
      <c r="C97">
        <v>4.43</v>
      </c>
      <c r="Y97" s="46"/>
      <c r="Z97" s="46"/>
      <c r="AD97" s="46"/>
    </row>
    <row r="98" spans="1:30">
      <c r="A98">
        <v>1472</v>
      </c>
      <c r="B98" t="s">
        <v>644</v>
      </c>
      <c r="C98">
        <v>16.3</v>
      </c>
      <c r="Y98" s="46"/>
      <c r="Z98" s="46"/>
      <c r="AD98" s="46"/>
    </row>
    <row r="99" spans="1:30">
      <c r="A99">
        <v>1473</v>
      </c>
      <c r="B99" t="s">
        <v>645</v>
      </c>
      <c r="C99">
        <v>26.1</v>
      </c>
      <c r="Y99" s="46"/>
      <c r="Z99" s="46"/>
      <c r="AD99" s="46"/>
    </row>
    <row r="100" spans="1:30">
      <c r="A100">
        <v>1474</v>
      </c>
      <c r="B100" t="s">
        <v>646</v>
      </c>
      <c r="C100">
        <v>10.35</v>
      </c>
      <c r="Y100" s="46"/>
      <c r="Z100" s="46"/>
      <c r="AA100" s="46"/>
      <c r="AD100" s="46"/>
    </row>
    <row r="101" spans="1:30">
      <c r="A101">
        <v>1475</v>
      </c>
      <c r="B101" t="s">
        <v>647</v>
      </c>
      <c r="C101">
        <v>8.19</v>
      </c>
      <c r="Y101" s="46"/>
      <c r="Z101" s="46"/>
      <c r="AD101" s="46"/>
    </row>
    <row r="102" spans="1:30">
      <c r="A102">
        <v>1476</v>
      </c>
      <c r="B102" t="s">
        <v>648</v>
      </c>
      <c r="C102">
        <v>451</v>
      </c>
      <c r="Y102" s="46"/>
      <c r="Z102" s="46"/>
      <c r="AA102" s="46"/>
      <c r="AD102" s="46"/>
    </row>
    <row r="103" spans="1:30">
      <c r="A103">
        <v>1477</v>
      </c>
      <c r="B103" t="s">
        <v>649</v>
      </c>
      <c r="C103">
        <v>226</v>
      </c>
      <c r="Y103" s="46"/>
      <c r="Z103" s="46"/>
      <c r="AD103" s="46"/>
    </row>
    <row r="104" spans="1:30">
      <c r="A104">
        <v>1503</v>
      </c>
      <c r="B104" t="s">
        <v>650</v>
      </c>
      <c r="C104">
        <v>40.200000000000003</v>
      </c>
      <c r="Y104" s="46"/>
      <c r="Z104" s="46"/>
      <c r="AD104" s="46"/>
    </row>
    <row r="105" spans="1:30">
      <c r="A105">
        <v>1504</v>
      </c>
      <c r="B105" t="s">
        <v>651</v>
      </c>
      <c r="C105">
        <v>26.2</v>
      </c>
      <c r="Y105" s="46"/>
      <c r="Z105" s="46"/>
      <c r="AA105" s="46"/>
      <c r="AD105" s="46"/>
    </row>
    <row r="106" spans="1:30">
      <c r="A106">
        <v>1506</v>
      </c>
      <c r="B106" t="s">
        <v>652</v>
      </c>
      <c r="C106">
        <v>15.75</v>
      </c>
      <c r="Y106" s="46"/>
      <c r="Z106" s="46"/>
      <c r="AD106" s="46"/>
    </row>
    <row r="107" spans="1:30">
      <c r="A107">
        <v>1507</v>
      </c>
      <c r="B107" t="s">
        <v>653</v>
      </c>
      <c r="C107">
        <v>52.5</v>
      </c>
      <c r="Y107" s="46"/>
      <c r="Z107" s="46"/>
      <c r="AD107" s="46"/>
    </row>
    <row r="108" spans="1:30">
      <c r="A108">
        <v>1512</v>
      </c>
      <c r="B108" t="s">
        <v>654</v>
      </c>
      <c r="C108">
        <v>4.93</v>
      </c>
      <c r="Y108" s="46"/>
      <c r="Z108" s="46"/>
      <c r="AD108" s="46"/>
    </row>
    <row r="109" spans="1:30">
      <c r="A109">
        <v>1513</v>
      </c>
      <c r="B109" t="s">
        <v>655</v>
      </c>
      <c r="C109">
        <v>16.8</v>
      </c>
      <c r="Y109" s="46"/>
      <c r="Z109" s="46"/>
      <c r="AA109" s="46"/>
      <c r="AD109" s="46"/>
    </row>
    <row r="110" spans="1:30">
      <c r="A110">
        <v>1514</v>
      </c>
      <c r="B110" t="s">
        <v>656</v>
      </c>
      <c r="C110">
        <v>8.1999999999999993</v>
      </c>
      <c r="Y110" s="46"/>
      <c r="Z110" s="46"/>
      <c r="AD110" s="46"/>
    </row>
    <row r="111" spans="1:30">
      <c r="A111">
        <v>1515</v>
      </c>
      <c r="B111" t="s">
        <v>657</v>
      </c>
      <c r="C111">
        <v>11</v>
      </c>
      <c r="Y111" s="46"/>
      <c r="Z111" s="46"/>
      <c r="AD111" s="46"/>
    </row>
    <row r="112" spans="1:30">
      <c r="A112">
        <v>1516</v>
      </c>
      <c r="B112" t="s">
        <v>658</v>
      </c>
      <c r="C112">
        <v>21.1</v>
      </c>
      <c r="Y112" s="46"/>
      <c r="Z112" s="46"/>
      <c r="AD112" s="46"/>
    </row>
    <row r="113" spans="1:30">
      <c r="A113">
        <v>1517</v>
      </c>
      <c r="B113" t="s">
        <v>659</v>
      </c>
      <c r="C113">
        <v>11.95</v>
      </c>
      <c r="Y113" s="46"/>
      <c r="Z113" s="46"/>
      <c r="AD113" s="46"/>
    </row>
    <row r="114" spans="1:30">
      <c r="A114">
        <v>1519</v>
      </c>
      <c r="B114" t="s">
        <v>660</v>
      </c>
      <c r="C114">
        <v>14.8</v>
      </c>
      <c r="Y114" s="46"/>
      <c r="Z114" s="46"/>
      <c r="AA114" s="46"/>
      <c r="AD114" s="46"/>
    </row>
    <row r="115" spans="1:30">
      <c r="A115">
        <v>1521</v>
      </c>
      <c r="B115" t="s">
        <v>661</v>
      </c>
      <c r="C115">
        <v>82.1</v>
      </c>
      <c r="Y115" s="46"/>
      <c r="Z115" s="46"/>
      <c r="AA115" s="46"/>
      <c r="AD115" s="46"/>
    </row>
    <row r="116" spans="1:30">
      <c r="A116">
        <v>1522</v>
      </c>
      <c r="B116" t="s">
        <v>662</v>
      </c>
      <c r="C116">
        <v>22.3</v>
      </c>
      <c r="Y116" s="46"/>
      <c r="Z116" s="46"/>
      <c r="AD116" s="46"/>
    </row>
    <row r="117" spans="1:30">
      <c r="A117">
        <v>1524</v>
      </c>
      <c r="B117" t="s">
        <v>663</v>
      </c>
      <c r="C117">
        <v>5.78</v>
      </c>
      <c r="Y117" s="46"/>
      <c r="Z117" s="46"/>
      <c r="AD117" s="46"/>
    </row>
    <row r="118" spans="1:30">
      <c r="A118">
        <v>1525</v>
      </c>
      <c r="B118" t="s">
        <v>664</v>
      </c>
      <c r="C118">
        <v>76</v>
      </c>
      <c r="Y118" s="46"/>
      <c r="Z118" s="46"/>
      <c r="AD118" s="46"/>
    </row>
    <row r="119" spans="1:30">
      <c r="A119">
        <v>1526</v>
      </c>
      <c r="B119" t="s">
        <v>665</v>
      </c>
      <c r="C119">
        <v>12.9</v>
      </c>
      <c r="Y119" s="46"/>
      <c r="Z119" s="46"/>
      <c r="AD119" s="46"/>
    </row>
    <row r="120" spans="1:30">
      <c r="A120">
        <v>1527</v>
      </c>
      <c r="B120" t="s">
        <v>666</v>
      </c>
      <c r="C120">
        <v>57.6</v>
      </c>
      <c r="Y120" s="46"/>
      <c r="Z120" s="46"/>
      <c r="AD120" s="46"/>
    </row>
    <row r="121" spans="1:30">
      <c r="A121">
        <v>1528</v>
      </c>
      <c r="B121" t="s">
        <v>667</v>
      </c>
      <c r="C121">
        <v>9.4</v>
      </c>
      <c r="Y121" s="46"/>
      <c r="Z121" s="46"/>
      <c r="AD121" s="46"/>
    </row>
    <row r="122" spans="1:30">
      <c r="A122">
        <v>1529</v>
      </c>
      <c r="B122" t="s">
        <v>668</v>
      </c>
      <c r="C122">
        <v>5.8</v>
      </c>
      <c r="Y122" s="46"/>
      <c r="Z122" s="46"/>
      <c r="AD122" s="46"/>
    </row>
    <row r="123" spans="1:30">
      <c r="A123">
        <v>1530</v>
      </c>
      <c r="B123" t="s">
        <v>669</v>
      </c>
      <c r="C123">
        <v>29.85</v>
      </c>
      <c r="Y123" s="46"/>
      <c r="Z123" s="46"/>
      <c r="AA123" s="46"/>
      <c r="AD123" s="46"/>
    </row>
    <row r="124" spans="1:30">
      <c r="A124">
        <v>1531</v>
      </c>
      <c r="B124" t="s">
        <v>670</v>
      </c>
      <c r="C124">
        <v>17.100000000000001</v>
      </c>
      <c r="Y124" s="46"/>
      <c r="Z124" s="46"/>
      <c r="AD124" s="46"/>
    </row>
    <row r="125" spans="1:30">
      <c r="A125">
        <v>1532</v>
      </c>
      <c r="B125" t="s">
        <v>671</v>
      </c>
      <c r="C125">
        <v>27.5</v>
      </c>
      <c r="Y125" s="46"/>
      <c r="Z125" s="46"/>
      <c r="AD125" s="46"/>
    </row>
    <row r="126" spans="1:30">
      <c r="A126">
        <v>1533</v>
      </c>
      <c r="B126" t="s">
        <v>672</v>
      </c>
      <c r="C126">
        <v>45.8</v>
      </c>
      <c r="Y126" s="46"/>
      <c r="Z126" s="46"/>
      <c r="AD126" s="46"/>
    </row>
    <row r="127" spans="1:30">
      <c r="A127">
        <v>1535</v>
      </c>
      <c r="B127" t="s">
        <v>673</v>
      </c>
      <c r="C127">
        <v>60.2</v>
      </c>
      <c r="Y127" s="46"/>
      <c r="Z127" s="46"/>
      <c r="AD127" s="46"/>
    </row>
    <row r="128" spans="1:30">
      <c r="A128">
        <v>1536</v>
      </c>
      <c r="B128" t="s">
        <v>674</v>
      </c>
      <c r="C128">
        <v>123</v>
      </c>
      <c r="Y128" s="46"/>
      <c r="Z128" s="46"/>
      <c r="AD128" s="46"/>
    </row>
    <row r="129" spans="1:30">
      <c r="A129">
        <v>1537</v>
      </c>
      <c r="B129" t="s">
        <v>675</v>
      </c>
      <c r="C129">
        <v>123</v>
      </c>
      <c r="Y129" s="46"/>
      <c r="Z129" s="46"/>
      <c r="AA129" s="46"/>
      <c r="AD129" s="46"/>
    </row>
    <row r="130" spans="1:30">
      <c r="A130">
        <v>1538</v>
      </c>
      <c r="B130" t="s">
        <v>676</v>
      </c>
      <c r="C130">
        <v>4.87</v>
      </c>
      <c r="Y130" s="46"/>
      <c r="Z130" s="46"/>
      <c r="AD130" s="46"/>
    </row>
    <row r="131" spans="1:30">
      <c r="A131">
        <v>1539</v>
      </c>
      <c r="B131" t="s">
        <v>677</v>
      </c>
      <c r="C131">
        <v>34</v>
      </c>
      <c r="Y131" s="46"/>
      <c r="Z131" s="46"/>
      <c r="AD131" s="46"/>
    </row>
    <row r="132" spans="1:30">
      <c r="A132">
        <v>1540</v>
      </c>
      <c r="B132" t="s">
        <v>678</v>
      </c>
      <c r="C132">
        <v>16</v>
      </c>
      <c r="Y132" s="46"/>
      <c r="Z132" s="46"/>
      <c r="AD132" s="46"/>
    </row>
    <row r="133" spans="1:30">
      <c r="A133">
        <v>1541</v>
      </c>
      <c r="B133" t="s">
        <v>679</v>
      </c>
      <c r="C133">
        <v>55.7</v>
      </c>
      <c r="Y133" s="46"/>
      <c r="Z133" s="46"/>
      <c r="AD133" s="46"/>
    </row>
    <row r="134" spans="1:30">
      <c r="A134">
        <v>1558</v>
      </c>
      <c r="B134" t="s">
        <v>680</v>
      </c>
      <c r="C134">
        <v>142.5</v>
      </c>
      <c r="Y134" s="46"/>
      <c r="Z134" s="46"/>
      <c r="AD134" s="46"/>
    </row>
    <row r="135" spans="1:30">
      <c r="A135">
        <v>1560</v>
      </c>
      <c r="B135" t="s">
        <v>681</v>
      </c>
      <c r="C135">
        <v>53.4</v>
      </c>
      <c r="Y135" s="46"/>
      <c r="Z135" s="46"/>
      <c r="AD135" s="46"/>
    </row>
    <row r="136" spans="1:30">
      <c r="A136">
        <v>1568</v>
      </c>
      <c r="B136" t="s">
        <v>682</v>
      </c>
      <c r="C136">
        <v>16.5</v>
      </c>
      <c r="Y136" s="46"/>
      <c r="Z136" s="46"/>
      <c r="AD136" s="46"/>
    </row>
    <row r="137" spans="1:30">
      <c r="A137">
        <v>1582</v>
      </c>
      <c r="B137" t="s">
        <v>683</v>
      </c>
      <c r="C137">
        <v>51.3</v>
      </c>
      <c r="Y137" s="46"/>
      <c r="Z137" s="46"/>
      <c r="AA137" s="46"/>
      <c r="AD137" s="46"/>
    </row>
    <row r="138" spans="1:30">
      <c r="A138">
        <v>1583</v>
      </c>
      <c r="B138" t="s">
        <v>684</v>
      </c>
      <c r="C138">
        <v>64.099999999999994</v>
      </c>
      <c r="Y138" s="46"/>
      <c r="Z138" s="46"/>
      <c r="AD138" s="46"/>
    </row>
    <row r="139" spans="1:30">
      <c r="A139">
        <v>1589</v>
      </c>
      <c r="B139" t="s">
        <v>685</v>
      </c>
      <c r="C139">
        <v>186.5</v>
      </c>
      <c r="Y139" s="46"/>
      <c r="Z139" s="46"/>
      <c r="AD139" s="46"/>
    </row>
    <row r="140" spans="1:30">
      <c r="A140">
        <v>1590</v>
      </c>
      <c r="B140" t="s">
        <v>686</v>
      </c>
      <c r="C140">
        <v>155</v>
      </c>
      <c r="Y140" s="46"/>
      <c r="Z140" s="46"/>
      <c r="AD140" s="46"/>
    </row>
    <row r="141" spans="1:30">
      <c r="A141">
        <v>1592</v>
      </c>
      <c r="B141" t="s">
        <v>687</v>
      </c>
      <c r="C141">
        <v>28</v>
      </c>
      <c r="Y141" s="46"/>
      <c r="Z141" s="46"/>
      <c r="AD141" s="46"/>
    </row>
    <row r="142" spans="1:30">
      <c r="A142">
        <v>1603</v>
      </c>
      <c r="B142" t="s">
        <v>688</v>
      </c>
      <c r="C142">
        <v>11.75</v>
      </c>
      <c r="Y142" s="46"/>
      <c r="Z142" s="46"/>
      <c r="AD142" s="46"/>
    </row>
    <row r="143" spans="1:30">
      <c r="A143">
        <v>1604</v>
      </c>
      <c r="B143" t="s">
        <v>689</v>
      </c>
      <c r="C143">
        <v>12.4</v>
      </c>
      <c r="Y143" s="46"/>
      <c r="Z143" s="46"/>
      <c r="AD143" s="46"/>
    </row>
    <row r="144" spans="1:30">
      <c r="A144">
        <v>1605</v>
      </c>
      <c r="B144" t="s">
        <v>690</v>
      </c>
      <c r="C144">
        <v>7.37</v>
      </c>
      <c r="Y144" s="46"/>
      <c r="Z144" s="46"/>
      <c r="AD144" s="46"/>
    </row>
    <row r="145" spans="1:30">
      <c r="A145">
        <v>1608</v>
      </c>
      <c r="B145" t="s">
        <v>691</v>
      </c>
      <c r="C145">
        <v>7.16</v>
      </c>
      <c r="Y145" s="46"/>
      <c r="Z145" s="46"/>
      <c r="AD145" s="46"/>
    </row>
    <row r="146" spans="1:30">
      <c r="A146">
        <v>1609</v>
      </c>
      <c r="B146" t="s">
        <v>692</v>
      </c>
      <c r="C146">
        <v>4.9000000000000004</v>
      </c>
      <c r="Y146" s="46"/>
      <c r="Z146" s="46"/>
      <c r="AA146" s="46"/>
      <c r="AD146" s="46"/>
    </row>
    <row r="147" spans="1:30">
      <c r="A147">
        <v>1611</v>
      </c>
      <c r="B147" t="s">
        <v>693</v>
      </c>
      <c r="C147">
        <v>7.68</v>
      </c>
      <c r="Y147" s="46"/>
      <c r="Z147" s="46"/>
      <c r="AA147" s="46"/>
      <c r="AD147" s="46"/>
    </row>
    <row r="148" spans="1:30">
      <c r="A148">
        <v>1612</v>
      </c>
      <c r="B148" t="s">
        <v>694</v>
      </c>
      <c r="C148">
        <v>8.3699999999999992</v>
      </c>
      <c r="Y148" s="46"/>
      <c r="Z148" s="46"/>
      <c r="AD148" s="46"/>
    </row>
    <row r="149" spans="1:30">
      <c r="A149">
        <v>1613</v>
      </c>
      <c r="B149" t="s">
        <v>695</v>
      </c>
      <c r="C149">
        <v>3.37</v>
      </c>
      <c r="Y149" s="46"/>
      <c r="Z149" s="46"/>
      <c r="AD149" s="46"/>
    </row>
    <row r="150" spans="1:30">
      <c r="A150">
        <v>1614</v>
      </c>
      <c r="B150" t="s">
        <v>696</v>
      </c>
      <c r="C150">
        <v>26.8</v>
      </c>
      <c r="Y150" s="46"/>
      <c r="Z150" s="46"/>
      <c r="AD150" s="46"/>
    </row>
    <row r="151" spans="1:30">
      <c r="A151">
        <v>1615</v>
      </c>
      <c r="B151" t="s">
        <v>697</v>
      </c>
      <c r="C151">
        <v>9.85</v>
      </c>
      <c r="Y151" s="46"/>
      <c r="Z151" s="46"/>
      <c r="AD151" s="46"/>
    </row>
    <row r="152" spans="1:30">
      <c r="A152">
        <v>1616</v>
      </c>
      <c r="B152" t="s">
        <v>698</v>
      </c>
      <c r="C152">
        <v>4.87</v>
      </c>
      <c r="Y152" s="46"/>
      <c r="Z152" s="46"/>
      <c r="AA152" s="46"/>
      <c r="AD152" s="46"/>
    </row>
    <row r="153" spans="1:30">
      <c r="A153">
        <v>1617</v>
      </c>
      <c r="B153" t="s">
        <v>699</v>
      </c>
      <c r="C153">
        <v>6.97</v>
      </c>
      <c r="Y153" s="46"/>
      <c r="Z153" s="46"/>
      <c r="AD153" s="46"/>
    </row>
    <row r="154" spans="1:30">
      <c r="A154">
        <v>1618</v>
      </c>
      <c r="B154" t="s">
        <v>700</v>
      </c>
      <c r="C154">
        <v>7.2</v>
      </c>
      <c r="Y154" s="46"/>
      <c r="Z154" s="46"/>
      <c r="AD154" s="46"/>
    </row>
    <row r="155" spans="1:30">
      <c r="A155">
        <v>1626</v>
      </c>
      <c r="B155" t="s">
        <v>701</v>
      </c>
      <c r="C155">
        <v>24.5</v>
      </c>
      <c r="Y155" s="46"/>
      <c r="Z155" s="46"/>
      <c r="AD155" s="46"/>
    </row>
    <row r="156" spans="1:30">
      <c r="A156">
        <v>1701</v>
      </c>
      <c r="B156" t="s">
        <v>702</v>
      </c>
      <c r="C156">
        <v>18.05</v>
      </c>
      <c r="Y156" s="46"/>
      <c r="Z156" s="46"/>
      <c r="AD156" s="46"/>
    </row>
    <row r="157" spans="1:30">
      <c r="A157">
        <v>1702</v>
      </c>
      <c r="B157" t="s">
        <v>703</v>
      </c>
      <c r="C157">
        <v>68.599999999999994</v>
      </c>
      <c r="Y157" s="46"/>
      <c r="Z157" s="46"/>
      <c r="AD157" s="46"/>
    </row>
    <row r="158" spans="1:30">
      <c r="A158">
        <v>1704</v>
      </c>
      <c r="B158" t="s">
        <v>704</v>
      </c>
      <c r="C158">
        <v>27.45</v>
      </c>
      <c r="Y158" s="46"/>
      <c r="Z158" s="46"/>
      <c r="AD158" s="46"/>
    </row>
    <row r="159" spans="1:30">
      <c r="A159">
        <v>1707</v>
      </c>
      <c r="B159" t="s">
        <v>705</v>
      </c>
      <c r="C159">
        <v>176.5</v>
      </c>
      <c r="Y159" s="46"/>
      <c r="Z159" s="46"/>
      <c r="AD159" s="46"/>
    </row>
    <row r="160" spans="1:30">
      <c r="A160">
        <v>1708</v>
      </c>
      <c r="B160" t="s">
        <v>706</v>
      </c>
      <c r="C160">
        <v>33.35</v>
      </c>
      <c r="Y160" s="46"/>
      <c r="Z160" s="46"/>
      <c r="AD160" s="46"/>
    </row>
    <row r="161" spans="1:30">
      <c r="A161">
        <v>1709</v>
      </c>
      <c r="B161" t="s">
        <v>707</v>
      </c>
      <c r="C161">
        <v>14.7</v>
      </c>
      <c r="Y161" s="46"/>
      <c r="Z161" s="46"/>
      <c r="AD161" s="46"/>
    </row>
    <row r="162" spans="1:30">
      <c r="A162">
        <v>1710</v>
      </c>
      <c r="B162" t="s">
        <v>708</v>
      </c>
      <c r="C162">
        <v>23.5</v>
      </c>
      <c r="Y162" s="46"/>
      <c r="Z162" s="46"/>
      <c r="AD162" s="46"/>
    </row>
    <row r="163" spans="1:30">
      <c r="A163">
        <v>1711</v>
      </c>
      <c r="B163" t="s">
        <v>709</v>
      </c>
      <c r="C163">
        <v>19.95</v>
      </c>
      <c r="Y163" s="46"/>
      <c r="Z163" s="46"/>
      <c r="AD163" s="46"/>
    </row>
    <row r="164" spans="1:30">
      <c r="A164">
        <v>1712</v>
      </c>
      <c r="B164" t="s">
        <v>710</v>
      </c>
      <c r="C164">
        <v>13.9</v>
      </c>
      <c r="Y164" s="46"/>
      <c r="Z164" s="46"/>
      <c r="AD164" s="46"/>
    </row>
    <row r="165" spans="1:30">
      <c r="A165">
        <v>1713</v>
      </c>
      <c r="B165" t="s">
        <v>711</v>
      </c>
      <c r="C165">
        <v>15.55</v>
      </c>
      <c r="Y165" s="46"/>
      <c r="Z165" s="46"/>
      <c r="AA165" s="46"/>
      <c r="AD165" s="46"/>
    </row>
    <row r="166" spans="1:30">
      <c r="A166">
        <v>1714</v>
      </c>
      <c r="B166" t="s">
        <v>712</v>
      </c>
      <c r="C166">
        <v>7.28</v>
      </c>
      <c r="Y166" s="46"/>
      <c r="Z166" s="46"/>
      <c r="AA166" s="46"/>
      <c r="AD166" s="46"/>
    </row>
    <row r="167" spans="1:30">
      <c r="A167">
        <v>1715</v>
      </c>
      <c r="B167" t="s">
        <v>713</v>
      </c>
      <c r="C167">
        <v>13.1</v>
      </c>
      <c r="Y167" s="46"/>
      <c r="Z167" s="46"/>
      <c r="AA167" s="46"/>
      <c r="AD167" s="46"/>
    </row>
    <row r="168" spans="1:30">
      <c r="A168">
        <v>1717</v>
      </c>
      <c r="B168" t="s">
        <v>714</v>
      </c>
      <c r="C168">
        <v>30.45</v>
      </c>
      <c r="Y168" s="46"/>
      <c r="Z168" s="46"/>
      <c r="AA168" s="46"/>
      <c r="AD168" s="46"/>
    </row>
    <row r="169" spans="1:30">
      <c r="A169">
        <v>1718</v>
      </c>
      <c r="B169" t="s">
        <v>715</v>
      </c>
      <c r="C169">
        <v>8.86</v>
      </c>
      <c r="Y169" s="46"/>
      <c r="Z169" s="46"/>
      <c r="AA169" s="46"/>
      <c r="AD169" s="46"/>
    </row>
    <row r="170" spans="1:30">
      <c r="A170">
        <v>1720</v>
      </c>
      <c r="B170" t="s">
        <v>716</v>
      </c>
      <c r="C170">
        <v>35.15</v>
      </c>
      <c r="Y170" s="46"/>
      <c r="Z170" s="46"/>
      <c r="AA170" s="46"/>
      <c r="AD170" s="46"/>
    </row>
    <row r="171" spans="1:30">
      <c r="A171">
        <v>1721</v>
      </c>
      <c r="B171" t="s">
        <v>717</v>
      </c>
      <c r="C171">
        <v>10.9</v>
      </c>
      <c r="Y171" s="46"/>
      <c r="Z171" s="46"/>
      <c r="AA171" s="46"/>
      <c r="AD171" s="46"/>
    </row>
    <row r="172" spans="1:30">
      <c r="A172">
        <v>1722</v>
      </c>
      <c r="B172" t="s">
        <v>718</v>
      </c>
      <c r="C172">
        <v>40.549999999999997</v>
      </c>
      <c r="Y172" s="46"/>
      <c r="Z172" s="46"/>
      <c r="AD172" s="46"/>
    </row>
    <row r="173" spans="1:30">
      <c r="A173">
        <v>1723</v>
      </c>
      <c r="B173" t="s">
        <v>719</v>
      </c>
      <c r="C173">
        <v>116</v>
      </c>
      <c r="Y173" s="46"/>
      <c r="Z173" s="46"/>
      <c r="AD173" s="46"/>
    </row>
    <row r="174" spans="1:30">
      <c r="A174">
        <v>1724</v>
      </c>
      <c r="B174" t="s">
        <v>720</v>
      </c>
      <c r="C174">
        <v>15.4</v>
      </c>
      <c r="Y174" s="46"/>
      <c r="Z174" s="46"/>
      <c r="AD174" s="46"/>
    </row>
    <row r="175" spans="1:30">
      <c r="A175">
        <v>1725</v>
      </c>
      <c r="B175" t="s">
        <v>721</v>
      </c>
      <c r="C175">
        <v>14.4</v>
      </c>
      <c r="Y175" s="46"/>
      <c r="Z175" s="46"/>
      <c r="AD175" s="46"/>
    </row>
    <row r="176" spans="1:30">
      <c r="A176">
        <v>1726</v>
      </c>
      <c r="B176" t="s">
        <v>722</v>
      </c>
      <c r="C176">
        <v>66.400000000000006</v>
      </c>
      <c r="Y176" s="46"/>
      <c r="Z176" s="46"/>
      <c r="AD176" s="46"/>
    </row>
    <row r="177" spans="1:30">
      <c r="A177">
        <v>1727</v>
      </c>
      <c r="B177" t="s">
        <v>723</v>
      </c>
      <c r="C177">
        <v>15.15</v>
      </c>
      <c r="Y177" s="46"/>
      <c r="Z177" s="46"/>
      <c r="AD177" s="46"/>
    </row>
    <row r="178" spans="1:30">
      <c r="A178">
        <v>1729</v>
      </c>
      <c r="B178" t="s">
        <v>724</v>
      </c>
      <c r="C178">
        <v>77.599999999999994</v>
      </c>
      <c r="Y178" s="46"/>
      <c r="Z178" s="46"/>
      <c r="AD178" s="46"/>
    </row>
    <row r="179" spans="1:30">
      <c r="A179">
        <v>1730</v>
      </c>
      <c r="B179" t="s">
        <v>725</v>
      </c>
      <c r="C179">
        <v>33.6</v>
      </c>
      <c r="Y179" s="46"/>
      <c r="Z179" s="46"/>
      <c r="AD179" s="46"/>
    </row>
    <row r="180" spans="1:30">
      <c r="A180">
        <v>1731</v>
      </c>
      <c r="B180" t="s">
        <v>726</v>
      </c>
      <c r="C180">
        <v>13.6</v>
      </c>
      <c r="Y180" s="46"/>
      <c r="Z180" s="46"/>
      <c r="AD180" s="46"/>
    </row>
    <row r="181" spans="1:30">
      <c r="A181">
        <v>1732</v>
      </c>
      <c r="B181" t="s">
        <v>727</v>
      </c>
      <c r="C181">
        <v>13</v>
      </c>
      <c r="Y181" s="46"/>
      <c r="Z181" s="46"/>
      <c r="AD181" s="46"/>
    </row>
    <row r="182" spans="1:30">
      <c r="A182">
        <v>1733</v>
      </c>
      <c r="B182" t="s">
        <v>728</v>
      </c>
      <c r="C182">
        <v>41.95</v>
      </c>
      <c r="Y182" s="46"/>
      <c r="Z182" s="46"/>
      <c r="AD182" s="46"/>
    </row>
    <row r="183" spans="1:30">
      <c r="A183">
        <v>1734</v>
      </c>
      <c r="B183" t="s">
        <v>729</v>
      </c>
      <c r="C183">
        <v>29.6</v>
      </c>
      <c r="Y183" s="46"/>
      <c r="Z183" s="46"/>
      <c r="AD183" s="46"/>
    </row>
    <row r="184" spans="1:30">
      <c r="A184">
        <v>1735</v>
      </c>
      <c r="B184" t="s">
        <v>730</v>
      </c>
      <c r="C184">
        <v>11.8</v>
      </c>
      <c r="Y184" s="46"/>
      <c r="Z184" s="46"/>
      <c r="AD184" s="46"/>
    </row>
    <row r="185" spans="1:30">
      <c r="A185">
        <v>1736</v>
      </c>
      <c r="B185" t="s">
        <v>731</v>
      </c>
      <c r="C185">
        <v>53</v>
      </c>
      <c r="Y185" s="46"/>
      <c r="Z185" s="46"/>
      <c r="AD185" s="46"/>
    </row>
    <row r="186" spans="1:30">
      <c r="A186">
        <v>1737</v>
      </c>
      <c r="B186" t="s">
        <v>732</v>
      </c>
      <c r="C186">
        <v>24.7</v>
      </c>
      <c r="Y186" s="46"/>
      <c r="Z186" s="46"/>
      <c r="AD186" s="46"/>
    </row>
    <row r="187" spans="1:30">
      <c r="A187">
        <v>1762</v>
      </c>
      <c r="B187" t="s">
        <v>733</v>
      </c>
      <c r="C187">
        <v>31.9</v>
      </c>
      <c r="Y187" s="46"/>
      <c r="Z187" s="46"/>
      <c r="AD187" s="46"/>
    </row>
    <row r="188" spans="1:30">
      <c r="A188">
        <v>1773</v>
      </c>
      <c r="B188" t="s">
        <v>734</v>
      </c>
      <c r="C188">
        <v>42.3</v>
      </c>
      <c r="Y188" s="46"/>
      <c r="Z188" s="46"/>
      <c r="AD188" s="46"/>
    </row>
    <row r="189" spans="1:30">
      <c r="A189">
        <v>1783</v>
      </c>
      <c r="B189" t="s">
        <v>735</v>
      </c>
      <c r="C189">
        <v>24.55</v>
      </c>
      <c r="Y189" s="46"/>
      <c r="Z189" s="46"/>
      <c r="AA189" s="46"/>
      <c r="AD189" s="46"/>
    </row>
    <row r="190" spans="1:30">
      <c r="A190">
        <v>1786</v>
      </c>
      <c r="B190" t="s">
        <v>736</v>
      </c>
      <c r="C190">
        <v>58.6</v>
      </c>
      <c r="Y190" s="46"/>
      <c r="Z190" s="46"/>
      <c r="AA190" s="46"/>
      <c r="AD190" s="46"/>
    </row>
    <row r="191" spans="1:30">
      <c r="A191">
        <v>1789</v>
      </c>
      <c r="B191" t="s">
        <v>737</v>
      </c>
      <c r="C191">
        <v>46.2</v>
      </c>
      <c r="Y191" s="46"/>
      <c r="Z191" s="46"/>
      <c r="AD191" s="46"/>
    </row>
    <row r="192" spans="1:30">
      <c r="A192">
        <v>1802</v>
      </c>
      <c r="B192" t="s">
        <v>738</v>
      </c>
      <c r="C192">
        <v>12.9</v>
      </c>
      <c r="Y192" s="46"/>
      <c r="Z192" s="46"/>
      <c r="AA192" s="46"/>
      <c r="AD192" s="46"/>
    </row>
    <row r="193" spans="1:30">
      <c r="A193">
        <v>1805</v>
      </c>
      <c r="B193" t="s">
        <v>739</v>
      </c>
      <c r="C193">
        <v>7.62</v>
      </c>
      <c r="Y193" s="46"/>
      <c r="Z193" s="46"/>
      <c r="AD193" s="46"/>
    </row>
    <row r="194" spans="1:30">
      <c r="A194">
        <v>1806</v>
      </c>
      <c r="B194" t="s">
        <v>740</v>
      </c>
      <c r="C194">
        <v>7.08</v>
      </c>
      <c r="Y194" s="46"/>
      <c r="Z194" s="46"/>
      <c r="AD194" s="46"/>
    </row>
    <row r="195" spans="1:30">
      <c r="A195">
        <v>1808</v>
      </c>
      <c r="B195" t="s">
        <v>741</v>
      </c>
      <c r="C195">
        <v>27.6</v>
      </c>
      <c r="Y195" s="46"/>
      <c r="Z195" s="46"/>
      <c r="AD195" s="46"/>
    </row>
    <row r="196" spans="1:30">
      <c r="A196">
        <v>1809</v>
      </c>
      <c r="B196" t="s">
        <v>742</v>
      </c>
      <c r="C196">
        <v>10.3</v>
      </c>
      <c r="Y196" s="46"/>
      <c r="Z196" s="46"/>
      <c r="AD196" s="46"/>
    </row>
    <row r="197" spans="1:30">
      <c r="A197">
        <v>1810</v>
      </c>
      <c r="B197" t="s">
        <v>743</v>
      </c>
      <c r="C197">
        <v>8.2799999999999994</v>
      </c>
      <c r="Y197" s="46"/>
      <c r="Z197" s="46"/>
      <c r="AD197" s="46"/>
    </row>
    <row r="198" spans="1:30">
      <c r="A198">
        <v>1817</v>
      </c>
      <c r="B198" t="s">
        <v>744</v>
      </c>
      <c r="C198">
        <v>37.549999999999997</v>
      </c>
      <c r="Y198" s="46"/>
      <c r="Z198" s="46"/>
      <c r="AD198" s="46"/>
    </row>
    <row r="199" spans="1:30">
      <c r="A199">
        <v>1902</v>
      </c>
      <c r="B199" t="s">
        <v>745</v>
      </c>
      <c r="C199">
        <v>10.85</v>
      </c>
      <c r="Y199" s="46"/>
      <c r="Z199" s="46"/>
      <c r="AD199" s="46"/>
    </row>
    <row r="200" spans="1:30">
      <c r="A200">
        <v>1903</v>
      </c>
      <c r="B200" t="s">
        <v>746</v>
      </c>
      <c r="C200">
        <v>30.2</v>
      </c>
      <c r="Y200" s="46"/>
      <c r="Z200" s="46"/>
      <c r="AD200" s="46"/>
    </row>
    <row r="201" spans="1:30">
      <c r="A201">
        <v>1904</v>
      </c>
      <c r="B201" t="s">
        <v>747</v>
      </c>
      <c r="C201">
        <v>11.45</v>
      </c>
      <c r="Y201" s="46"/>
      <c r="Z201" s="46"/>
      <c r="AD201" s="46"/>
    </row>
    <row r="202" spans="1:30">
      <c r="A202">
        <v>1905</v>
      </c>
      <c r="B202" t="s">
        <v>1858</v>
      </c>
      <c r="C202">
        <v>9.7799999999999994</v>
      </c>
      <c r="Y202" s="46"/>
      <c r="Z202" s="46"/>
      <c r="AD202" s="46"/>
    </row>
    <row r="203" spans="1:30">
      <c r="A203">
        <v>1906</v>
      </c>
      <c r="B203" t="s">
        <v>748</v>
      </c>
      <c r="C203">
        <v>7.81</v>
      </c>
      <c r="Y203" s="46"/>
      <c r="Z203" s="46"/>
      <c r="AA203" s="46"/>
      <c r="AD203" s="46"/>
    </row>
    <row r="204" spans="1:30">
      <c r="A204">
        <v>1907</v>
      </c>
      <c r="B204" t="s">
        <v>749</v>
      </c>
      <c r="C204">
        <v>10.55</v>
      </c>
      <c r="Y204" s="46"/>
      <c r="Z204" s="46"/>
      <c r="AD204" s="46"/>
    </row>
    <row r="205" spans="1:30">
      <c r="A205">
        <v>1909</v>
      </c>
      <c r="B205" t="s">
        <v>750</v>
      </c>
      <c r="C205">
        <v>11.45</v>
      </c>
      <c r="Y205" s="46"/>
      <c r="Z205" s="46"/>
      <c r="AD205" s="46"/>
    </row>
    <row r="206" spans="1:30">
      <c r="A206">
        <v>2002</v>
      </c>
      <c r="B206" t="s">
        <v>751</v>
      </c>
      <c r="C206">
        <v>19.649999999999999</v>
      </c>
      <c r="Y206" s="46"/>
      <c r="Z206" s="46"/>
      <c r="AD206" s="46"/>
    </row>
    <row r="207" spans="1:30">
      <c r="A207" t="s">
        <v>263</v>
      </c>
      <c r="B207" t="s">
        <v>752</v>
      </c>
      <c r="C207">
        <v>39.299999999999997</v>
      </c>
      <c r="Y207" s="46"/>
      <c r="Z207" s="46"/>
      <c r="AD207" s="46"/>
    </row>
    <row r="208" spans="1:30">
      <c r="A208">
        <v>2006</v>
      </c>
      <c r="B208" t="s">
        <v>753</v>
      </c>
      <c r="C208">
        <v>17.850000000000001</v>
      </c>
      <c r="Y208" s="46"/>
      <c r="Z208" s="46"/>
      <c r="AD208" s="46"/>
    </row>
    <row r="209" spans="1:30">
      <c r="A209">
        <v>2007</v>
      </c>
      <c r="B209" t="s">
        <v>754</v>
      </c>
      <c r="C209">
        <v>4.5</v>
      </c>
      <c r="Y209" s="46"/>
      <c r="Z209" s="46"/>
      <c r="AD209" s="46"/>
    </row>
    <row r="210" spans="1:30">
      <c r="A210">
        <v>2008</v>
      </c>
      <c r="B210" t="s">
        <v>755</v>
      </c>
      <c r="C210">
        <v>8.6</v>
      </c>
      <c r="Y210" s="46"/>
      <c r="Z210" s="46"/>
      <c r="AD210" s="46"/>
    </row>
    <row r="211" spans="1:30">
      <c r="A211">
        <v>2009</v>
      </c>
      <c r="B211" t="s">
        <v>756</v>
      </c>
      <c r="C211">
        <v>7.25</v>
      </c>
      <c r="Y211" s="46"/>
      <c r="Z211" s="46"/>
      <c r="AD211" s="46"/>
    </row>
    <row r="212" spans="1:30">
      <c r="A212">
        <v>2010</v>
      </c>
      <c r="B212" t="s">
        <v>757</v>
      </c>
      <c r="C212">
        <v>9.48</v>
      </c>
      <c r="Y212" s="46"/>
      <c r="Z212" s="46"/>
      <c r="AD212" s="46"/>
    </row>
    <row r="213" spans="1:30">
      <c r="A213">
        <v>2012</v>
      </c>
      <c r="B213" t="s">
        <v>758</v>
      </c>
      <c r="C213">
        <v>14</v>
      </c>
      <c r="Y213" s="46"/>
      <c r="Z213" s="46"/>
      <c r="AD213" s="46"/>
    </row>
    <row r="214" spans="1:30">
      <c r="A214">
        <v>2013</v>
      </c>
      <c r="B214" t="s">
        <v>759</v>
      </c>
      <c r="C214">
        <v>19.05</v>
      </c>
      <c r="Y214" s="46"/>
      <c r="Z214" s="46"/>
      <c r="AD214" s="46"/>
    </row>
    <row r="215" spans="1:30">
      <c r="A215">
        <v>2014</v>
      </c>
      <c r="B215" t="s">
        <v>760</v>
      </c>
      <c r="C215">
        <v>4.7699999999999996</v>
      </c>
      <c r="Y215" s="46"/>
      <c r="Z215" s="46"/>
      <c r="AD215" s="46"/>
    </row>
    <row r="216" spans="1:30">
      <c r="A216">
        <v>2015</v>
      </c>
      <c r="B216" t="s">
        <v>761</v>
      </c>
      <c r="C216">
        <v>38.35</v>
      </c>
      <c r="Y216" s="46"/>
      <c r="Z216" s="46"/>
      <c r="AD216" s="46"/>
    </row>
    <row r="217" spans="1:30">
      <c r="A217">
        <v>2017</v>
      </c>
      <c r="B217" t="s">
        <v>762</v>
      </c>
      <c r="C217">
        <v>5.71</v>
      </c>
      <c r="Y217" s="46"/>
      <c r="Z217" s="46"/>
      <c r="AD217" s="46"/>
    </row>
    <row r="218" spans="1:30">
      <c r="A218">
        <v>2020</v>
      </c>
      <c r="B218" t="s">
        <v>763</v>
      </c>
      <c r="C218">
        <v>13.3</v>
      </c>
      <c r="Y218" s="46"/>
      <c r="Z218" s="46"/>
      <c r="AD218" s="46"/>
    </row>
    <row r="219" spans="1:30">
      <c r="A219">
        <v>2022</v>
      </c>
      <c r="B219" t="s">
        <v>764</v>
      </c>
      <c r="C219">
        <v>4.12</v>
      </c>
      <c r="Y219" s="46"/>
      <c r="Z219" s="46"/>
      <c r="AD219" s="46"/>
    </row>
    <row r="220" spans="1:30">
      <c r="A220">
        <v>2023</v>
      </c>
      <c r="B220" t="s">
        <v>765</v>
      </c>
      <c r="C220">
        <v>7.77</v>
      </c>
      <c r="Y220" s="46"/>
      <c r="Z220" s="46"/>
      <c r="AD220" s="46"/>
    </row>
    <row r="221" spans="1:30">
      <c r="A221">
        <v>2024</v>
      </c>
      <c r="B221" t="s">
        <v>766</v>
      </c>
      <c r="C221">
        <v>7.18</v>
      </c>
      <c r="Y221" s="46"/>
      <c r="Z221" s="46"/>
      <c r="AD221" s="46"/>
    </row>
    <row r="222" spans="1:30">
      <c r="A222">
        <v>2025</v>
      </c>
      <c r="B222" t="s">
        <v>767</v>
      </c>
      <c r="C222">
        <v>2.73</v>
      </c>
      <c r="Y222" s="46"/>
      <c r="Z222" s="46"/>
      <c r="AA222" s="46"/>
      <c r="AD222" s="46"/>
    </row>
    <row r="223" spans="1:30">
      <c r="A223">
        <v>2027</v>
      </c>
      <c r="B223" t="s">
        <v>768</v>
      </c>
      <c r="C223">
        <v>15</v>
      </c>
      <c r="Y223" s="46"/>
      <c r="Z223" s="46"/>
      <c r="AD223" s="46"/>
    </row>
    <row r="224" spans="1:30">
      <c r="A224">
        <v>2028</v>
      </c>
      <c r="B224" t="s">
        <v>769</v>
      </c>
      <c r="C224">
        <v>2.15</v>
      </c>
      <c r="Y224" s="46"/>
      <c r="Z224" s="46"/>
      <c r="AD224" s="46"/>
    </row>
    <row r="225" spans="1:30">
      <c r="A225">
        <v>2029</v>
      </c>
      <c r="B225" t="s">
        <v>770</v>
      </c>
      <c r="C225">
        <v>17.8</v>
      </c>
      <c r="Y225" s="46"/>
      <c r="Z225" s="46"/>
      <c r="AD225" s="46"/>
    </row>
    <row r="226" spans="1:30">
      <c r="A226">
        <v>2030</v>
      </c>
      <c r="B226" t="s">
        <v>771</v>
      </c>
      <c r="C226">
        <v>9.34</v>
      </c>
      <c r="Y226" s="46"/>
      <c r="Z226" s="46"/>
      <c r="AD226" s="46"/>
    </row>
    <row r="227" spans="1:30">
      <c r="A227">
        <v>2031</v>
      </c>
      <c r="B227" t="s">
        <v>772</v>
      </c>
      <c r="C227">
        <v>13.55</v>
      </c>
      <c r="Y227" s="46"/>
      <c r="Z227" s="46"/>
      <c r="AD227" s="46"/>
    </row>
    <row r="228" spans="1:30">
      <c r="A228">
        <v>2032</v>
      </c>
      <c r="B228" t="s">
        <v>773</v>
      </c>
      <c r="C228">
        <v>8.64</v>
      </c>
      <c r="Y228" s="46"/>
      <c r="Z228" s="46"/>
      <c r="AA228" s="46"/>
      <c r="AD228" s="46"/>
    </row>
    <row r="229" spans="1:30">
      <c r="A229">
        <v>2033</v>
      </c>
      <c r="B229" t="s">
        <v>774</v>
      </c>
      <c r="C229" t="s">
        <v>1908</v>
      </c>
      <c r="Y229" s="46"/>
      <c r="Z229" s="46"/>
      <c r="AD229" s="46"/>
    </row>
    <row r="230" spans="1:30">
      <c r="A230">
        <v>2034</v>
      </c>
      <c r="B230" t="s">
        <v>775</v>
      </c>
      <c r="C230">
        <v>19.100000000000001</v>
      </c>
      <c r="Y230" s="46"/>
      <c r="Z230" s="46"/>
      <c r="AD230" s="46"/>
    </row>
    <row r="231" spans="1:30">
      <c r="A231">
        <v>2038</v>
      </c>
      <c r="B231" t="s">
        <v>776</v>
      </c>
      <c r="C231">
        <v>5.63</v>
      </c>
      <c r="Y231" s="46"/>
      <c r="Z231" s="46"/>
      <c r="AA231" s="46"/>
      <c r="AD231" s="46"/>
    </row>
    <row r="232" spans="1:30">
      <c r="A232">
        <v>2049</v>
      </c>
      <c r="B232" t="s">
        <v>777</v>
      </c>
      <c r="C232">
        <v>164.5</v>
      </c>
      <c r="Y232" s="46"/>
      <c r="Z232" s="46"/>
      <c r="AD232" s="46"/>
    </row>
    <row r="233" spans="1:30">
      <c r="A233">
        <v>2059</v>
      </c>
      <c r="B233" t="s">
        <v>778</v>
      </c>
      <c r="C233">
        <v>400</v>
      </c>
      <c r="Y233" s="46"/>
      <c r="Z233" s="46"/>
      <c r="AD233" s="46"/>
    </row>
    <row r="234" spans="1:30">
      <c r="A234">
        <v>2062</v>
      </c>
      <c r="B234" t="s">
        <v>779</v>
      </c>
      <c r="C234">
        <v>45.1</v>
      </c>
      <c r="Y234" s="46"/>
      <c r="Z234" s="46"/>
      <c r="AD234" s="46"/>
    </row>
    <row r="235" spans="1:30">
      <c r="A235">
        <v>2101</v>
      </c>
      <c r="B235" t="s">
        <v>780</v>
      </c>
      <c r="C235">
        <v>27.9</v>
      </c>
      <c r="Y235" s="46"/>
      <c r="Z235" s="46"/>
      <c r="AA235" s="46"/>
      <c r="AD235" s="46"/>
    </row>
    <row r="236" spans="1:30">
      <c r="A236">
        <v>2102</v>
      </c>
      <c r="B236" t="s">
        <v>781</v>
      </c>
      <c r="C236">
        <v>14.6</v>
      </c>
      <c r="Y236" s="46"/>
      <c r="Z236" s="46"/>
      <c r="AA236" s="46"/>
      <c r="AD236" s="46"/>
    </row>
    <row r="237" spans="1:30">
      <c r="A237">
        <v>2103</v>
      </c>
      <c r="B237" t="s">
        <v>782</v>
      </c>
      <c r="C237">
        <v>23</v>
      </c>
      <c r="Y237" s="46"/>
      <c r="Z237" s="46"/>
      <c r="AD237" s="46"/>
    </row>
    <row r="238" spans="1:30">
      <c r="A238">
        <v>2104</v>
      </c>
      <c r="B238" t="s">
        <v>783</v>
      </c>
      <c r="C238">
        <v>23.75</v>
      </c>
      <c r="Y238" s="46"/>
      <c r="Z238" s="46"/>
      <c r="AA238" s="46"/>
      <c r="AD238" s="46"/>
    </row>
    <row r="239" spans="1:30">
      <c r="A239">
        <v>2105</v>
      </c>
      <c r="B239" t="s">
        <v>784</v>
      </c>
      <c r="C239">
        <v>57.9</v>
      </c>
      <c r="Y239" s="46"/>
      <c r="Z239" s="46"/>
      <c r="AD239" s="46"/>
    </row>
    <row r="240" spans="1:30">
      <c r="A240">
        <v>2106</v>
      </c>
      <c r="B240" t="s">
        <v>785</v>
      </c>
      <c r="C240">
        <v>52.7</v>
      </c>
      <c r="Y240" s="46"/>
      <c r="Z240" s="46"/>
      <c r="AD240" s="46"/>
    </row>
    <row r="241" spans="1:30">
      <c r="A241">
        <v>2107</v>
      </c>
      <c r="B241" t="s">
        <v>786</v>
      </c>
      <c r="C241">
        <v>17.8</v>
      </c>
      <c r="Y241" s="46"/>
      <c r="Z241" s="46"/>
      <c r="AD241" s="46"/>
    </row>
    <row r="242" spans="1:30">
      <c r="A242">
        <v>2108</v>
      </c>
      <c r="B242" t="s">
        <v>787</v>
      </c>
      <c r="C242">
        <v>26.65</v>
      </c>
      <c r="Y242" s="46"/>
      <c r="Z242" s="46"/>
      <c r="AA242" s="46"/>
      <c r="AD242" s="46"/>
    </row>
    <row r="243" spans="1:30">
      <c r="A243">
        <v>2109</v>
      </c>
      <c r="B243" t="s">
        <v>788</v>
      </c>
      <c r="C243">
        <v>12.45</v>
      </c>
      <c r="Y243" s="46"/>
      <c r="Z243" s="46"/>
      <c r="AA243" s="46"/>
      <c r="AD243" s="46"/>
    </row>
    <row r="244" spans="1:30">
      <c r="A244">
        <v>2114</v>
      </c>
      <c r="B244" t="s">
        <v>789</v>
      </c>
      <c r="C244">
        <v>78.3</v>
      </c>
      <c r="Y244" s="46"/>
      <c r="Z244" s="46"/>
      <c r="AA244" s="46"/>
      <c r="AD244" s="46"/>
    </row>
    <row r="245" spans="1:30">
      <c r="A245">
        <v>2115</v>
      </c>
      <c r="B245" t="s">
        <v>790</v>
      </c>
      <c r="C245">
        <v>43.2</v>
      </c>
      <c r="Y245" s="46"/>
      <c r="Z245" s="46"/>
      <c r="AA245" s="46"/>
      <c r="AD245" s="46"/>
    </row>
    <row r="246" spans="1:30">
      <c r="A246">
        <v>2201</v>
      </c>
      <c r="B246" t="s">
        <v>791</v>
      </c>
      <c r="C246">
        <v>32.700000000000003</v>
      </c>
      <c r="Y246" s="46"/>
      <c r="Z246" s="46"/>
      <c r="AA246" s="46"/>
      <c r="AD246" s="46"/>
    </row>
    <row r="247" spans="1:30">
      <c r="A247">
        <v>2204</v>
      </c>
      <c r="B247" t="s">
        <v>792</v>
      </c>
      <c r="C247">
        <v>23.15</v>
      </c>
      <c r="Y247" s="46"/>
      <c r="Z247" s="46"/>
      <c r="AA247" s="46"/>
      <c r="AD247" s="46"/>
    </row>
    <row r="248" spans="1:30">
      <c r="A248">
        <v>2206</v>
      </c>
      <c r="B248" t="s">
        <v>793</v>
      </c>
      <c r="C248">
        <v>20.75</v>
      </c>
      <c r="Y248" s="46"/>
      <c r="Z248" s="46"/>
      <c r="AA248" s="46"/>
      <c r="AD248" s="46"/>
    </row>
    <row r="249" spans="1:30">
      <c r="A249">
        <v>2207</v>
      </c>
      <c r="B249" t="s">
        <v>794</v>
      </c>
      <c r="C249">
        <v>366.5</v>
      </c>
      <c r="Y249" s="46"/>
      <c r="Z249" s="46"/>
      <c r="AA249" s="46"/>
      <c r="AD249" s="46"/>
    </row>
    <row r="250" spans="1:30">
      <c r="A250">
        <v>2208</v>
      </c>
      <c r="B250" t="s">
        <v>795</v>
      </c>
      <c r="C250">
        <v>13.35</v>
      </c>
      <c r="Y250" s="46"/>
      <c r="Z250" s="46"/>
      <c r="AD250" s="46"/>
    </row>
    <row r="251" spans="1:30">
      <c r="A251">
        <v>2227</v>
      </c>
      <c r="B251" t="s">
        <v>796</v>
      </c>
      <c r="C251">
        <v>256</v>
      </c>
      <c r="Y251" s="46"/>
      <c r="Z251" s="46"/>
      <c r="AD251" s="46"/>
    </row>
    <row r="252" spans="1:30">
      <c r="A252">
        <v>2228</v>
      </c>
      <c r="B252" t="s">
        <v>797</v>
      </c>
      <c r="C252">
        <v>169.5</v>
      </c>
      <c r="Y252" s="46"/>
      <c r="Z252" s="46"/>
      <c r="AD252" s="46"/>
    </row>
    <row r="253" spans="1:30">
      <c r="A253">
        <v>2231</v>
      </c>
      <c r="B253" t="s">
        <v>798</v>
      </c>
      <c r="C253">
        <v>389</v>
      </c>
      <c r="Y253" s="46"/>
      <c r="Z253" s="46"/>
      <c r="AD253" s="46"/>
    </row>
    <row r="254" spans="1:30">
      <c r="A254">
        <v>2236</v>
      </c>
      <c r="B254" t="s">
        <v>799</v>
      </c>
      <c r="C254">
        <v>34</v>
      </c>
      <c r="Y254" s="46"/>
      <c r="Z254" s="46"/>
      <c r="AA254" s="46"/>
      <c r="AD254" s="46"/>
    </row>
    <row r="255" spans="1:30">
      <c r="A255">
        <v>2301</v>
      </c>
      <c r="B255" t="s">
        <v>800</v>
      </c>
      <c r="C255">
        <v>32.25</v>
      </c>
      <c r="Y255" s="46"/>
      <c r="Z255" s="46"/>
      <c r="AD255" s="46"/>
    </row>
    <row r="256" spans="1:30">
      <c r="A256">
        <v>2302</v>
      </c>
      <c r="B256" t="s">
        <v>801</v>
      </c>
      <c r="C256">
        <v>6.45</v>
      </c>
      <c r="Y256" s="46"/>
      <c r="Z256" s="46"/>
      <c r="AA256" s="46"/>
      <c r="AD256" s="46"/>
    </row>
    <row r="257" spans="1:30">
      <c r="A257">
        <v>2303</v>
      </c>
      <c r="B257" t="s">
        <v>802</v>
      </c>
      <c r="C257">
        <v>12</v>
      </c>
      <c r="Y257" s="46"/>
      <c r="Z257" s="46"/>
      <c r="AA257" s="46"/>
      <c r="AD257" s="46"/>
    </row>
    <row r="258" spans="1:30">
      <c r="A258">
        <v>2305</v>
      </c>
      <c r="B258" t="s">
        <v>803</v>
      </c>
      <c r="C258">
        <v>6.45</v>
      </c>
      <c r="Y258" s="46"/>
      <c r="Z258" s="46"/>
      <c r="AA258" s="46"/>
      <c r="AD258" s="46"/>
    </row>
    <row r="259" spans="1:30">
      <c r="A259">
        <v>2308</v>
      </c>
      <c r="B259" t="s">
        <v>804</v>
      </c>
      <c r="C259">
        <v>158.5</v>
      </c>
      <c r="O259" s="46"/>
      <c r="Y259" s="46"/>
      <c r="Z259" s="46"/>
      <c r="AA259" s="46"/>
      <c r="AD259" s="46"/>
    </row>
    <row r="260" spans="1:30">
      <c r="A260">
        <v>2311</v>
      </c>
      <c r="B260" t="s">
        <v>805</v>
      </c>
      <c r="C260">
        <v>36.049999999999997</v>
      </c>
      <c r="Y260" s="46"/>
      <c r="Z260" s="46"/>
      <c r="AA260" s="46"/>
      <c r="AD260" s="46"/>
    </row>
    <row r="261" spans="1:30">
      <c r="A261">
        <v>2312</v>
      </c>
      <c r="B261" t="s">
        <v>806</v>
      </c>
      <c r="C261">
        <v>10.050000000000001</v>
      </c>
      <c r="Y261" s="46"/>
      <c r="Z261" s="46"/>
      <c r="AA261" s="46"/>
      <c r="AD261" s="46"/>
    </row>
    <row r="262" spans="1:30">
      <c r="A262">
        <v>2313</v>
      </c>
      <c r="B262" t="s">
        <v>807</v>
      </c>
      <c r="C262">
        <v>21.6</v>
      </c>
      <c r="Y262" s="46"/>
      <c r="Z262" s="46"/>
      <c r="AD262" s="46"/>
    </row>
    <row r="263" spans="1:30">
      <c r="A263">
        <v>2314</v>
      </c>
      <c r="B263" t="s">
        <v>808</v>
      </c>
      <c r="C263">
        <v>8.83</v>
      </c>
      <c r="Y263" s="46"/>
      <c r="Z263" s="46"/>
      <c r="AD263" s="46"/>
    </row>
    <row r="264" spans="1:30">
      <c r="A264">
        <v>2316</v>
      </c>
      <c r="B264" t="s">
        <v>809</v>
      </c>
      <c r="C264">
        <v>25.05</v>
      </c>
      <c r="Y264" s="46"/>
      <c r="Z264" s="46"/>
      <c r="AA264" s="46"/>
      <c r="AD264" s="46"/>
    </row>
    <row r="265" spans="1:30">
      <c r="A265">
        <v>2317</v>
      </c>
      <c r="B265" t="s">
        <v>810</v>
      </c>
      <c r="C265">
        <v>83.4</v>
      </c>
      <c r="Y265" s="46"/>
      <c r="Z265" s="46"/>
      <c r="AA265" s="46"/>
      <c r="AD265" s="46"/>
    </row>
    <row r="266" spans="1:30">
      <c r="A266">
        <v>2321</v>
      </c>
      <c r="B266" t="s">
        <v>811</v>
      </c>
      <c r="C266">
        <v>2.85</v>
      </c>
      <c r="Y266" s="46"/>
      <c r="Z266" s="46"/>
      <c r="AA266" s="46"/>
      <c r="AD266" s="46"/>
    </row>
    <row r="267" spans="1:30">
      <c r="A267">
        <v>2323</v>
      </c>
      <c r="B267" t="s">
        <v>812</v>
      </c>
      <c r="C267">
        <v>3.61</v>
      </c>
      <c r="Y267" s="46"/>
      <c r="Z267" s="46"/>
      <c r="AD267" s="46"/>
    </row>
    <row r="268" spans="1:30">
      <c r="A268">
        <v>2324</v>
      </c>
      <c r="B268" t="s">
        <v>813</v>
      </c>
      <c r="C268">
        <v>19.850000000000001</v>
      </c>
      <c r="M268" s="46"/>
      <c r="Y268" s="46"/>
      <c r="Z268" s="46"/>
      <c r="AD268" s="46"/>
    </row>
    <row r="269" spans="1:30">
      <c r="A269">
        <v>2325</v>
      </c>
      <c r="B269" t="s">
        <v>814</v>
      </c>
      <c r="C269">
        <v>43</v>
      </c>
      <c r="Y269" s="46"/>
      <c r="Z269" s="46"/>
      <c r="AD269" s="46"/>
    </row>
    <row r="270" spans="1:30">
      <c r="A270">
        <v>2327</v>
      </c>
      <c r="B270" t="s">
        <v>815</v>
      </c>
      <c r="C270">
        <v>49.9</v>
      </c>
      <c r="Y270" s="46"/>
      <c r="Z270" s="46"/>
      <c r="AD270" s="46"/>
    </row>
    <row r="271" spans="1:30">
      <c r="A271">
        <v>2328</v>
      </c>
      <c r="B271" t="s">
        <v>816</v>
      </c>
      <c r="C271">
        <v>14</v>
      </c>
      <c r="Y271" s="46"/>
      <c r="Z271" s="46"/>
      <c r="AD271" s="46"/>
    </row>
    <row r="272" spans="1:30">
      <c r="A272">
        <v>2329</v>
      </c>
      <c r="B272" t="s">
        <v>817</v>
      </c>
      <c r="C272">
        <v>11.8</v>
      </c>
      <c r="Y272" s="46"/>
      <c r="Z272" s="46"/>
      <c r="AD272" s="46"/>
    </row>
    <row r="273" spans="1:30">
      <c r="A273">
        <v>2330</v>
      </c>
      <c r="B273" t="s">
        <v>818</v>
      </c>
      <c r="C273">
        <v>137.5</v>
      </c>
      <c r="Y273" s="46"/>
      <c r="Z273" s="46"/>
      <c r="AD273" s="46"/>
    </row>
    <row r="274" spans="1:30">
      <c r="A274">
        <v>2331</v>
      </c>
      <c r="B274" t="s">
        <v>819</v>
      </c>
      <c r="C274">
        <v>22.4</v>
      </c>
      <c r="Y274" s="46"/>
      <c r="Z274" s="46"/>
      <c r="AD274" s="46"/>
    </row>
    <row r="275" spans="1:30">
      <c r="A275">
        <v>2332</v>
      </c>
      <c r="B275" t="s">
        <v>820</v>
      </c>
      <c r="C275">
        <v>10.5</v>
      </c>
      <c r="Y275" s="46"/>
      <c r="Z275" s="46"/>
      <c r="AD275" s="46"/>
    </row>
    <row r="276" spans="1:30">
      <c r="A276">
        <v>2337</v>
      </c>
      <c r="B276" t="s">
        <v>821</v>
      </c>
      <c r="C276">
        <v>4.6399999999999997</v>
      </c>
      <c r="Y276" s="46"/>
      <c r="Z276" s="46"/>
      <c r="AD276" s="46"/>
    </row>
    <row r="277" spans="1:30">
      <c r="A277">
        <v>2338</v>
      </c>
      <c r="B277" t="s">
        <v>822</v>
      </c>
      <c r="C277">
        <v>7.7</v>
      </c>
      <c r="Y277" s="46"/>
      <c r="Z277" s="46"/>
      <c r="AD277" s="46"/>
    </row>
    <row r="278" spans="1:30">
      <c r="A278">
        <v>2340</v>
      </c>
      <c r="B278" t="s">
        <v>823</v>
      </c>
      <c r="C278">
        <v>10.5</v>
      </c>
      <c r="Y278" s="46"/>
      <c r="Z278" s="46"/>
      <c r="AD278" s="46"/>
    </row>
    <row r="279" spans="1:30">
      <c r="A279">
        <v>2342</v>
      </c>
      <c r="B279" t="s">
        <v>824</v>
      </c>
      <c r="C279">
        <v>2.39</v>
      </c>
      <c r="Y279" s="46"/>
      <c r="Z279" s="46"/>
      <c r="AD279" s="46"/>
    </row>
    <row r="280" spans="1:30">
      <c r="A280">
        <v>2344</v>
      </c>
      <c r="B280" t="s">
        <v>825</v>
      </c>
      <c r="C280">
        <v>7.71</v>
      </c>
      <c r="Y280" s="46"/>
      <c r="Z280" s="46"/>
      <c r="AD280" s="46"/>
    </row>
    <row r="281" spans="1:30">
      <c r="A281">
        <v>2345</v>
      </c>
      <c r="B281" t="s">
        <v>826</v>
      </c>
      <c r="C281">
        <v>22.4</v>
      </c>
      <c r="Y281" s="46"/>
      <c r="Z281" s="46"/>
      <c r="AA281" s="46"/>
      <c r="AD281" s="46"/>
    </row>
    <row r="282" spans="1:30">
      <c r="A282">
        <v>2347</v>
      </c>
      <c r="B282" t="s">
        <v>827</v>
      </c>
      <c r="C282">
        <v>34.9</v>
      </c>
      <c r="Y282" s="46"/>
      <c r="Z282" s="46"/>
      <c r="AA282" s="46"/>
      <c r="AD282" s="46"/>
    </row>
    <row r="283" spans="1:30">
      <c r="A283">
        <v>2348</v>
      </c>
      <c r="B283" t="s">
        <v>828</v>
      </c>
      <c r="C283" t="s">
        <v>1908</v>
      </c>
      <c r="Y283" s="46"/>
      <c r="Z283" s="46"/>
      <c r="AD283" s="46"/>
    </row>
    <row r="284" spans="1:30">
      <c r="A284">
        <v>2349</v>
      </c>
      <c r="B284" t="s">
        <v>829</v>
      </c>
      <c r="C284">
        <v>2.71</v>
      </c>
      <c r="Y284" s="46"/>
      <c r="Z284" s="46"/>
      <c r="AA284" s="46"/>
      <c r="AD284" s="46"/>
    </row>
    <row r="285" spans="1:30">
      <c r="A285">
        <v>2351</v>
      </c>
      <c r="B285" t="s">
        <v>830</v>
      </c>
      <c r="C285">
        <v>27.2</v>
      </c>
      <c r="Y285" s="46"/>
      <c r="Z285" s="46"/>
      <c r="AD285" s="46"/>
    </row>
    <row r="286" spans="1:30">
      <c r="A286">
        <v>2352</v>
      </c>
      <c r="B286" t="s">
        <v>831</v>
      </c>
      <c r="C286">
        <v>10.5</v>
      </c>
      <c r="Y286" s="46"/>
      <c r="Z286" s="46"/>
      <c r="AD286" s="46"/>
    </row>
    <row r="287" spans="1:30">
      <c r="A287">
        <v>2353</v>
      </c>
      <c r="B287" t="s">
        <v>832</v>
      </c>
      <c r="C287">
        <v>12.1</v>
      </c>
      <c r="Y287" s="46"/>
      <c r="Z287" s="46"/>
      <c r="AD287" s="46"/>
    </row>
    <row r="288" spans="1:30">
      <c r="A288">
        <v>2354</v>
      </c>
      <c r="B288" t="s">
        <v>833</v>
      </c>
      <c r="C288">
        <v>78.599999999999994</v>
      </c>
      <c r="Y288" s="46"/>
      <c r="Z288" s="46"/>
      <c r="AD288" s="46"/>
    </row>
    <row r="289" spans="1:30">
      <c r="A289">
        <v>2355</v>
      </c>
      <c r="B289" t="s">
        <v>834</v>
      </c>
      <c r="C289">
        <v>44.6</v>
      </c>
      <c r="Y289" s="46"/>
      <c r="Z289" s="46"/>
      <c r="AD289" s="46"/>
    </row>
    <row r="290" spans="1:30">
      <c r="A290">
        <v>2356</v>
      </c>
      <c r="B290" t="s">
        <v>835</v>
      </c>
      <c r="C290">
        <v>18.7</v>
      </c>
      <c r="Y290" s="46"/>
      <c r="Z290" s="46"/>
      <c r="AD290" s="46"/>
    </row>
    <row r="291" spans="1:30">
      <c r="A291">
        <v>2357</v>
      </c>
      <c r="B291" t="s">
        <v>836</v>
      </c>
      <c r="C291">
        <v>284.5</v>
      </c>
      <c r="Y291" s="46"/>
      <c r="Z291" s="46"/>
      <c r="AD291" s="46"/>
    </row>
    <row r="292" spans="1:30">
      <c r="A292">
        <v>2358</v>
      </c>
      <c r="B292" t="s">
        <v>837</v>
      </c>
      <c r="C292">
        <v>8.74</v>
      </c>
      <c r="Y292" s="46"/>
      <c r="Z292" s="46"/>
      <c r="AD292" s="46"/>
    </row>
    <row r="293" spans="1:30">
      <c r="A293">
        <v>2359</v>
      </c>
      <c r="B293" t="s">
        <v>838</v>
      </c>
      <c r="C293">
        <v>14.3</v>
      </c>
      <c r="Y293" s="46"/>
      <c r="Z293" s="46"/>
      <c r="AD293" s="46"/>
    </row>
    <row r="294" spans="1:30">
      <c r="A294">
        <v>2360</v>
      </c>
      <c r="B294" t="s">
        <v>839</v>
      </c>
      <c r="C294">
        <v>59.3</v>
      </c>
      <c r="Y294" s="46"/>
      <c r="Z294" s="46"/>
      <c r="AA294" s="46"/>
      <c r="AD294" s="46"/>
    </row>
    <row r="295" spans="1:30">
      <c r="A295">
        <v>2361</v>
      </c>
      <c r="B295" t="s">
        <v>840</v>
      </c>
      <c r="C295">
        <v>1.59</v>
      </c>
      <c r="Y295" s="46"/>
      <c r="Z295" s="46"/>
      <c r="AA295" s="46"/>
      <c r="AD295" s="46"/>
    </row>
    <row r="296" spans="1:30">
      <c r="A296">
        <v>2362</v>
      </c>
      <c r="B296" t="s">
        <v>841</v>
      </c>
      <c r="C296">
        <v>34.35</v>
      </c>
      <c r="Y296" s="46"/>
      <c r="Z296" s="46"/>
      <c r="AA296" s="46"/>
      <c r="AD296" s="46"/>
    </row>
    <row r="297" spans="1:30">
      <c r="A297">
        <v>2363</v>
      </c>
      <c r="B297" t="s">
        <v>842</v>
      </c>
      <c r="C297">
        <v>6.92</v>
      </c>
      <c r="Y297" s="46"/>
      <c r="Z297" s="46"/>
      <c r="AD297" s="46"/>
    </row>
    <row r="298" spans="1:30">
      <c r="A298">
        <v>2364</v>
      </c>
      <c r="B298" t="s">
        <v>843</v>
      </c>
      <c r="C298">
        <v>3.8</v>
      </c>
      <c r="Y298" s="46"/>
      <c r="Z298" s="46"/>
      <c r="AD298" s="46"/>
    </row>
    <row r="299" spans="1:30">
      <c r="A299">
        <v>2365</v>
      </c>
      <c r="B299" t="s">
        <v>844</v>
      </c>
      <c r="C299">
        <v>9.1</v>
      </c>
      <c r="Y299" s="46"/>
      <c r="Z299" s="46"/>
      <c r="AD299" s="46"/>
    </row>
    <row r="300" spans="1:30">
      <c r="A300">
        <v>2367</v>
      </c>
      <c r="B300" t="s">
        <v>845</v>
      </c>
      <c r="C300">
        <v>11.65</v>
      </c>
      <c r="Y300" s="46"/>
      <c r="Z300" s="46"/>
      <c r="AD300" s="46"/>
    </row>
    <row r="301" spans="1:30">
      <c r="A301">
        <v>2368</v>
      </c>
      <c r="B301" t="s">
        <v>846</v>
      </c>
      <c r="C301">
        <v>10.050000000000001</v>
      </c>
      <c r="Y301" s="46"/>
      <c r="Z301" s="46"/>
      <c r="AD301" s="46"/>
    </row>
    <row r="302" spans="1:30">
      <c r="A302">
        <v>2369</v>
      </c>
      <c r="B302" t="s">
        <v>847</v>
      </c>
      <c r="C302">
        <v>9.76</v>
      </c>
      <c r="Y302" s="46"/>
      <c r="Z302" s="46"/>
      <c r="AD302" s="46"/>
    </row>
    <row r="303" spans="1:30">
      <c r="A303">
        <v>2371</v>
      </c>
      <c r="B303" t="s">
        <v>848</v>
      </c>
      <c r="C303">
        <v>5.58</v>
      </c>
      <c r="Y303" s="46"/>
      <c r="Z303" s="46"/>
      <c r="AD303" s="46"/>
    </row>
    <row r="304" spans="1:30">
      <c r="A304">
        <v>2373</v>
      </c>
      <c r="B304" t="s">
        <v>849</v>
      </c>
      <c r="C304">
        <v>50.8</v>
      </c>
      <c r="Y304" s="46"/>
      <c r="Z304" s="46"/>
      <c r="AD304" s="46"/>
    </row>
    <row r="305" spans="1:30">
      <c r="A305">
        <v>2375</v>
      </c>
      <c r="B305" t="s">
        <v>851</v>
      </c>
      <c r="C305">
        <v>14.85</v>
      </c>
      <c r="Y305" s="46"/>
      <c r="Z305" s="46"/>
      <c r="AD305" s="46"/>
    </row>
    <row r="306" spans="1:30">
      <c r="A306">
        <v>2376</v>
      </c>
      <c r="B306" t="s">
        <v>852</v>
      </c>
      <c r="C306">
        <v>31.9</v>
      </c>
      <c r="Y306" s="46"/>
      <c r="Z306" s="46"/>
      <c r="AD306" s="46"/>
    </row>
    <row r="307" spans="1:30">
      <c r="A307">
        <v>2377</v>
      </c>
      <c r="B307" t="s">
        <v>853</v>
      </c>
      <c r="C307">
        <v>33.450000000000003</v>
      </c>
      <c r="Y307" s="46"/>
      <c r="Z307" s="46"/>
      <c r="AD307" s="46"/>
    </row>
    <row r="308" spans="1:30">
      <c r="A308">
        <v>2379</v>
      </c>
      <c r="B308" t="s">
        <v>854</v>
      </c>
      <c r="C308">
        <v>72.7</v>
      </c>
      <c r="Y308" s="46"/>
      <c r="Z308" s="46"/>
      <c r="AD308" s="46"/>
    </row>
    <row r="309" spans="1:30">
      <c r="A309">
        <v>2380</v>
      </c>
      <c r="B309" t="s">
        <v>855</v>
      </c>
      <c r="C309">
        <v>7.32</v>
      </c>
      <c r="Y309" s="46"/>
      <c r="Z309" s="46"/>
      <c r="AD309" s="46"/>
    </row>
    <row r="310" spans="1:30">
      <c r="A310">
        <v>2382</v>
      </c>
      <c r="B310" t="s">
        <v>856</v>
      </c>
      <c r="C310">
        <v>53.5</v>
      </c>
      <c r="Y310" s="46"/>
      <c r="Z310" s="46"/>
      <c r="AD310" s="46"/>
    </row>
    <row r="311" spans="1:30">
      <c r="A311">
        <v>2383</v>
      </c>
      <c r="B311" t="s">
        <v>857</v>
      </c>
      <c r="C311">
        <v>64</v>
      </c>
      <c r="Y311" s="46"/>
      <c r="Z311" s="46"/>
      <c r="AD311" s="46"/>
    </row>
    <row r="312" spans="1:30">
      <c r="A312">
        <v>2385</v>
      </c>
      <c r="B312" t="s">
        <v>858</v>
      </c>
      <c r="C312">
        <v>75.3</v>
      </c>
      <c r="Y312" s="46"/>
      <c r="Z312" s="46"/>
      <c r="AA312" s="46"/>
      <c r="AD312" s="46"/>
    </row>
    <row r="313" spans="1:30">
      <c r="A313">
        <v>2387</v>
      </c>
      <c r="B313" t="s">
        <v>859</v>
      </c>
      <c r="C313">
        <v>14.95</v>
      </c>
      <c r="Y313" s="46"/>
      <c r="Z313" s="46"/>
      <c r="AD313" s="46"/>
    </row>
    <row r="314" spans="1:30">
      <c r="A314">
        <v>2388</v>
      </c>
      <c r="B314" t="s">
        <v>860</v>
      </c>
      <c r="C314">
        <v>7.61</v>
      </c>
      <c r="Y314" s="46"/>
      <c r="Z314" s="46"/>
      <c r="AD314" s="46"/>
    </row>
    <row r="315" spans="1:30">
      <c r="A315">
        <v>2390</v>
      </c>
      <c r="B315" t="s">
        <v>861</v>
      </c>
      <c r="C315">
        <v>20.8</v>
      </c>
      <c r="Y315" s="46"/>
      <c r="Z315" s="46"/>
      <c r="AA315" s="46"/>
      <c r="AD315" s="46"/>
    </row>
    <row r="316" spans="1:30">
      <c r="A316">
        <v>2392</v>
      </c>
      <c r="B316" t="s">
        <v>862</v>
      </c>
      <c r="C316">
        <v>46.5</v>
      </c>
      <c r="Y316" s="46"/>
      <c r="Z316" s="46"/>
      <c r="AD316" s="46"/>
    </row>
    <row r="317" spans="1:30">
      <c r="A317">
        <v>2393</v>
      </c>
      <c r="B317" t="s">
        <v>863</v>
      </c>
      <c r="C317">
        <v>45.75</v>
      </c>
      <c r="Y317" s="46"/>
      <c r="Z317" s="46"/>
      <c r="AD317" s="46"/>
    </row>
    <row r="318" spans="1:30">
      <c r="A318">
        <v>2395</v>
      </c>
      <c r="B318" t="s">
        <v>864</v>
      </c>
      <c r="C318">
        <v>217</v>
      </c>
      <c r="Y318" s="46"/>
      <c r="Z318" s="46"/>
      <c r="AD318" s="46"/>
    </row>
    <row r="319" spans="1:30">
      <c r="A319">
        <v>2397</v>
      </c>
      <c r="B319" t="s">
        <v>865</v>
      </c>
      <c r="C319">
        <v>37.1</v>
      </c>
      <c r="Y319" s="46"/>
      <c r="Z319" s="46"/>
      <c r="AD319" s="46"/>
    </row>
    <row r="320" spans="1:30">
      <c r="A320">
        <v>2399</v>
      </c>
      <c r="B320" t="s">
        <v>866</v>
      </c>
      <c r="C320">
        <v>7.16</v>
      </c>
      <c r="Y320" s="46"/>
      <c r="Z320" s="46"/>
      <c r="AD320" s="46"/>
    </row>
    <row r="321" spans="1:30">
      <c r="A321">
        <v>2401</v>
      </c>
      <c r="B321" t="s">
        <v>867</v>
      </c>
      <c r="C321">
        <v>12.05</v>
      </c>
      <c r="Y321" s="46"/>
      <c r="Z321" s="46"/>
      <c r="AA321" s="46"/>
      <c r="AD321" s="46"/>
    </row>
    <row r="322" spans="1:30">
      <c r="A322">
        <v>2402</v>
      </c>
      <c r="B322" t="s">
        <v>868</v>
      </c>
      <c r="C322">
        <v>16.8</v>
      </c>
      <c r="Y322" s="46"/>
      <c r="Z322" s="46"/>
      <c r="AD322" s="46"/>
    </row>
    <row r="323" spans="1:30">
      <c r="A323">
        <v>2404</v>
      </c>
      <c r="B323" t="s">
        <v>869</v>
      </c>
      <c r="C323">
        <v>35.65</v>
      </c>
      <c r="Y323" s="46"/>
      <c r="Z323" s="46"/>
      <c r="AD323" s="46"/>
    </row>
    <row r="324" spans="1:30">
      <c r="A324">
        <v>2405</v>
      </c>
      <c r="B324" t="s">
        <v>870</v>
      </c>
      <c r="C324">
        <v>7.25</v>
      </c>
      <c r="Y324" s="46"/>
      <c r="Z324" s="46"/>
      <c r="AD324" s="46"/>
    </row>
    <row r="325" spans="1:30">
      <c r="A325">
        <v>2406</v>
      </c>
      <c r="B325" t="s">
        <v>871</v>
      </c>
      <c r="C325">
        <v>24</v>
      </c>
      <c r="Y325" s="46"/>
      <c r="Z325" s="46"/>
      <c r="AD325" s="46"/>
    </row>
    <row r="326" spans="1:30">
      <c r="A326">
        <v>2408</v>
      </c>
      <c r="B326" t="s">
        <v>872</v>
      </c>
      <c r="C326">
        <v>38.049999999999997</v>
      </c>
      <c r="Y326" s="46"/>
      <c r="Z326" s="46"/>
      <c r="AD326" s="46"/>
    </row>
    <row r="327" spans="1:30">
      <c r="A327">
        <v>2409</v>
      </c>
      <c r="B327" t="s">
        <v>873</v>
      </c>
      <c r="C327">
        <v>9.23</v>
      </c>
      <c r="Y327" s="46"/>
      <c r="Z327" s="46"/>
      <c r="AD327" s="46"/>
    </row>
    <row r="328" spans="1:30">
      <c r="A328">
        <v>2412</v>
      </c>
      <c r="B328" t="s">
        <v>874</v>
      </c>
      <c r="C328">
        <v>98.5</v>
      </c>
      <c r="Y328" s="46"/>
      <c r="Z328" s="46"/>
      <c r="AD328" s="46"/>
    </row>
    <row r="329" spans="1:30">
      <c r="A329">
        <v>2413</v>
      </c>
      <c r="B329" t="s">
        <v>875</v>
      </c>
      <c r="C329">
        <v>13.7</v>
      </c>
      <c r="Y329" s="46"/>
      <c r="Z329" s="46"/>
      <c r="AD329" s="46"/>
    </row>
    <row r="330" spans="1:30">
      <c r="A330">
        <v>2414</v>
      </c>
      <c r="B330" t="s">
        <v>876</v>
      </c>
      <c r="C330">
        <v>16.2</v>
      </c>
      <c r="Y330" s="46"/>
      <c r="Z330" s="46"/>
      <c r="AD330" s="46"/>
    </row>
    <row r="331" spans="1:30">
      <c r="A331">
        <v>2415</v>
      </c>
      <c r="B331" t="s">
        <v>877</v>
      </c>
      <c r="C331">
        <v>13.1</v>
      </c>
      <c r="Y331" s="46"/>
      <c r="Z331" s="46"/>
      <c r="AD331" s="46"/>
    </row>
    <row r="332" spans="1:30">
      <c r="A332">
        <v>2417</v>
      </c>
      <c r="B332" t="s">
        <v>878</v>
      </c>
      <c r="C332">
        <v>10.25</v>
      </c>
      <c r="Y332" s="46"/>
      <c r="Z332" s="46"/>
      <c r="AD332" s="46"/>
    </row>
    <row r="333" spans="1:30">
      <c r="A333">
        <v>2419</v>
      </c>
      <c r="B333" t="s">
        <v>879</v>
      </c>
      <c r="C333">
        <v>14.1</v>
      </c>
      <c r="Y333" s="46"/>
      <c r="Z333" s="46"/>
      <c r="AA333" s="46"/>
      <c r="AD333" s="46"/>
    </row>
    <row r="334" spans="1:30">
      <c r="A334">
        <v>2420</v>
      </c>
      <c r="B334" t="s">
        <v>880</v>
      </c>
      <c r="C334">
        <v>38.35</v>
      </c>
      <c r="Y334" s="46"/>
      <c r="Z334" s="46"/>
      <c r="AD334" s="46"/>
    </row>
    <row r="335" spans="1:30">
      <c r="A335">
        <v>2421</v>
      </c>
      <c r="B335" t="s">
        <v>881</v>
      </c>
      <c r="C335">
        <v>17.100000000000001</v>
      </c>
      <c r="Y335" s="46"/>
      <c r="Z335" s="46"/>
      <c r="AA335" s="46"/>
      <c r="AD335" s="46"/>
    </row>
    <row r="336" spans="1:30">
      <c r="A336">
        <v>2423</v>
      </c>
      <c r="B336" t="s">
        <v>882</v>
      </c>
      <c r="C336">
        <v>16.75</v>
      </c>
      <c r="Y336" s="46"/>
      <c r="Z336" s="46"/>
      <c r="AD336" s="46"/>
    </row>
    <row r="337" spans="1:30">
      <c r="A337">
        <v>2424</v>
      </c>
      <c r="B337" t="s">
        <v>883</v>
      </c>
      <c r="C337" t="s">
        <v>1908</v>
      </c>
      <c r="Y337" s="46"/>
      <c r="Z337" s="46"/>
      <c r="AA337" s="46"/>
      <c r="AD337" s="46"/>
    </row>
    <row r="338" spans="1:30">
      <c r="A338">
        <v>2425</v>
      </c>
      <c r="B338" t="s">
        <v>884</v>
      </c>
      <c r="C338">
        <v>16.5</v>
      </c>
      <c r="Y338" s="46"/>
      <c r="Z338" s="46"/>
      <c r="AA338" s="46"/>
      <c r="AD338" s="46"/>
    </row>
    <row r="339" spans="1:30">
      <c r="A339">
        <v>2426</v>
      </c>
      <c r="B339" t="s">
        <v>885</v>
      </c>
      <c r="C339">
        <v>15</v>
      </c>
      <c r="Y339" s="46"/>
      <c r="Z339" s="46"/>
      <c r="AA339" s="46"/>
      <c r="AD339" s="46"/>
    </row>
    <row r="340" spans="1:30">
      <c r="A340">
        <v>2427</v>
      </c>
      <c r="B340" t="s">
        <v>886</v>
      </c>
      <c r="C340">
        <v>6.48</v>
      </c>
      <c r="Y340" s="46"/>
      <c r="Z340" s="46"/>
      <c r="AD340" s="46"/>
    </row>
    <row r="341" spans="1:30">
      <c r="A341">
        <v>2428</v>
      </c>
      <c r="B341" t="s">
        <v>887</v>
      </c>
      <c r="C341">
        <v>43.2</v>
      </c>
      <c r="Y341" s="46"/>
      <c r="Z341" s="46"/>
      <c r="AD341" s="46"/>
    </row>
    <row r="342" spans="1:30">
      <c r="A342">
        <v>2429</v>
      </c>
      <c r="B342" t="s">
        <v>888</v>
      </c>
      <c r="C342" t="s">
        <v>1908</v>
      </c>
      <c r="Y342" s="46"/>
      <c r="Z342" s="46"/>
      <c r="AA342" s="46"/>
      <c r="AD342" s="46"/>
    </row>
    <row r="343" spans="1:30">
      <c r="A343">
        <v>2430</v>
      </c>
      <c r="B343" t="s">
        <v>889</v>
      </c>
      <c r="C343">
        <v>19.8</v>
      </c>
      <c r="Y343" s="46"/>
      <c r="Z343" s="46"/>
      <c r="AA343" s="46"/>
      <c r="AD343" s="46"/>
    </row>
    <row r="344" spans="1:30">
      <c r="A344">
        <v>2431</v>
      </c>
      <c r="B344" t="s">
        <v>890</v>
      </c>
      <c r="C344">
        <v>14.9</v>
      </c>
      <c r="Y344" s="46"/>
      <c r="Z344" s="46"/>
      <c r="AA344" s="46"/>
      <c r="AD344" s="46"/>
    </row>
    <row r="345" spans="1:30">
      <c r="A345">
        <v>2433</v>
      </c>
      <c r="B345" t="s">
        <v>891</v>
      </c>
      <c r="C345">
        <v>45</v>
      </c>
      <c r="Y345" s="46"/>
      <c r="Z345" s="46"/>
      <c r="AA345" s="46"/>
      <c r="AD345" s="46"/>
    </row>
    <row r="346" spans="1:30">
      <c r="A346">
        <v>2434</v>
      </c>
      <c r="B346" t="s">
        <v>892</v>
      </c>
      <c r="C346">
        <v>6.19</v>
      </c>
      <c r="Y346" s="46"/>
      <c r="Z346" s="46"/>
      <c r="AA346" s="46"/>
      <c r="AD346" s="46"/>
    </row>
    <row r="347" spans="1:30">
      <c r="A347">
        <v>2436</v>
      </c>
      <c r="B347" t="s">
        <v>893</v>
      </c>
      <c r="C347">
        <v>18.45</v>
      </c>
      <c r="Y347" s="46"/>
      <c r="Z347" s="46"/>
      <c r="AD347" s="46"/>
    </row>
    <row r="348" spans="1:30">
      <c r="A348">
        <v>2437</v>
      </c>
      <c r="B348" t="s">
        <v>894</v>
      </c>
      <c r="C348">
        <v>49.1</v>
      </c>
      <c r="Y348" s="46"/>
      <c r="Z348" s="46"/>
      <c r="AD348" s="46"/>
    </row>
    <row r="349" spans="1:30">
      <c r="A349">
        <v>2438</v>
      </c>
      <c r="B349" t="s">
        <v>895</v>
      </c>
      <c r="C349">
        <v>14.95</v>
      </c>
      <c r="Y349" s="46"/>
      <c r="Z349" s="46"/>
      <c r="AD349" s="46"/>
    </row>
    <row r="350" spans="1:30">
      <c r="A350">
        <v>2439</v>
      </c>
      <c r="B350" t="s">
        <v>896</v>
      </c>
      <c r="C350">
        <v>65</v>
      </c>
      <c r="Y350" s="46"/>
      <c r="Z350" s="46"/>
      <c r="AD350" s="46"/>
    </row>
    <row r="351" spans="1:30">
      <c r="A351">
        <v>2440</v>
      </c>
      <c r="B351" t="s">
        <v>897</v>
      </c>
      <c r="C351">
        <v>7.97</v>
      </c>
      <c r="Y351" s="46"/>
      <c r="Z351" s="46"/>
      <c r="AD351" s="46"/>
    </row>
    <row r="352" spans="1:30">
      <c r="A352">
        <v>2441</v>
      </c>
      <c r="B352" t="s">
        <v>898</v>
      </c>
      <c r="C352">
        <v>34.200000000000003</v>
      </c>
      <c r="Y352" s="46"/>
      <c r="Z352" s="46"/>
      <c r="AD352" s="46"/>
    </row>
    <row r="353" spans="1:30">
      <c r="A353">
        <v>2442</v>
      </c>
      <c r="B353" t="s">
        <v>899</v>
      </c>
      <c r="C353">
        <v>6.56</v>
      </c>
      <c r="Y353" s="46"/>
      <c r="Z353" s="46"/>
      <c r="AD353" s="46"/>
    </row>
    <row r="354" spans="1:30">
      <c r="A354">
        <v>2443</v>
      </c>
      <c r="B354" t="s">
        <v>900</v>
      </c>
      <c r="C354">
        <v>7.05</v>
      </c>
      <c r="Y354" s="46"/>
      <c r="Z354" s="46"/>
      <c r="AD354" s="46"/>
    </row>
    <row r="355" spans="1:30">
      <c r="A355">
        <v>2444</v>
      </c>
      <c r="B355" t="s">
        <v>901</v>
      </c>
      <c r="C355">
        <v>8.33</v>
      </c>
      <c r="Y355" s="46"/>
      <c r="Z355" s="46"/>
      <c r="AD355" s="46"/>
    </row>
    <row r="356" spans="1:30">
      <c r="A356">
        <v>2448</v>
      </c>
      <c r="B356" t="s">
        <v>902</v>
      </c>
      <c r="C356">
        <v>25.4</v>
      </c>
      <c r="Y356" s="46"/>
      <c r="Z356" s="46"/>
      <c r="AD356" s="46"/>
    </row>
    <row r="357" spans="1:30">
      <c r="A357">
        <v>2449</v>
      </c>
      <c r="B357" t="s">
        <v>903</v>
      </c>
      <c r="C357">
        <v>20.8</v>
      </c>
      <c r="Y357" s="46"/>
      <c r="Z357" s="46"/>
      <c r="AD357" s="46"/>
    </row>
    <row r="358" spans="1:30">
      <c r="A358">
        <v>2450</v>
      </c>
      <c r="B358" t="s">
        <v>904</v>
      </c>
      <c r="C358">
        <v>41.6</v>
      </c>
      <c r="Y358" s="46"/>
      <c r="Z358" s="46"/>
      <c r="AD358" s="46"/>
    </row>
    <row r="359" spans="1:30">
      <c r="A359">
        <v>2451</v>
      </c>
      <c r="B359" t="s">
        <v>905</v>
      </c>
      <c r="C359">
        <v>85.3</v>
      </c>
      <c r="Y359" s="46"/>
      <c r="Z359" s="46"/>
      <c r="AD359" s="46"/>
    </row>
    <row r="360" spans="1:30">
      <c r="A360">
        <v>2453</v>
      </c>
      <c r="B360" t="s">
        <v>906</v>
      </c>
      <c r="C360">
        <v>11.3</v>
      </c>
      <c r="Y360" s="46"/>
      <c r="Z360" s="46"/>
      <c r="AD360" s="46"/>
    </row>
    <row r="361" spans="1:30">
      <c r="A361">
        <v>2454</v>
      </c>
      <c r="B361" t="s">
        <v>907</v>
      </c>
      <c r="C361">
        <v>275</v>
      </c>
      <c r="Y361" s="46"/>
      <c r="Z361" s="46"/>
      <c r="AD361" s="46"/>
    </row>
    <row r="362" spans="1:30">
      <c r="A362">
        <v>2455</v>
      </c>
      <c r="B362" t="s">
        <v>908</v>
      </c>
      <c r="C362">
        <v>37.200000000000003</v>
      </c>
      <c r="Y362" s="46"/>
      <c r="Z362" s="46"/>
      <c r="AD362" s="46"/>
    </row>
    <row r="363" spans="1:30">
      <c r="A363">
        <v>2456</v>
      </c>
      <c r="B363" t="s">
        <v>909</v>
      </c>
      <c r="C363">
        <v>52.7</v>
      </c>
      <c r="Y363" s="46"/>
      <c r="Z363" s="46"/>
      <c r="AA363" s="46"/>
      <c r="AD363" s="46"/>
    </row>
    <row r="364" spans="1:30">
      <c r="A364">
        <v>2457</v>
      </c>
      <c r="B364" t="s">
        <v>910</v>
      </c>
      <c r="C364">
        <v>8.9499999999999993</v>
      </c>
      <c r="Y364" s="46"/>
      <c r="Z364" s="46"/>
      <c r="AD364" s="46"/>
    </row>
    <row r="365" spans="1:30">
      <c r="A365">
        <v>2458</v>
      </c>
      <c r="B365" t="s">
        <v>911</v>
      </c>
      <c r="C365">
        <v>36.700000000000003</v>
      </c>
      <c r="Y365" s="46"/>
      <c r="Z365" s="46"/>
      <c r="AD365" s="46"/>
    </row>
    <row r="366" spans="1:30">
      <c r="A366">
        <v>2459</v>
      </c>
      <c r="B366" t="s">
        <v>912</v>
      </c>
      <c r="C366">
        <v>33.25</v>
      </c>
      <c r="Y366" s="46"/>
      <c r="Z366" s="46"/>
      <c r="AD366" s="46"/>
    </row>
    <row r="367" spans="1:30">
      <c r="A367">
        <v>2460</v>
      </c>
      <c r="B367" t="s">
        <v>913</v>
      </c>
      <c r="C367">
        <v>9.14</v>
      </c>
      <c r="Y367" s="46"/>
      <c r="Z367" s="46"/>
      <c r="AD367" s="46"/>
    </row>
    <row r="368" spans="1:30">
      <c r="A368">
        <v>2461</v>
      </c>
      <c r="B368" t="s">
        <v>914</v>
      </c>
      <c r="C368">
        <v>13.75</v>
      </c>
      <c r="Y368" s="46"/>
      <c r="Z368" s="46"/>
      <c r="AD368" s="46"/>
    </row>
    <row r="369" spans="1:30">
      <c r="A369">
        <v>2462</v>
      </c>
      <c r="B369" t="s">
        <v>915</v>
      </c>
      <c r="C369">
        <v>14.6</v>
      </c>
      <c r="Y369" s="46"/>
      <c r="Z369" s="46"/>
      <c r="AD369" s="46"/>
    </row>
    <row r="370" spans="1:30">
      <c r="A370">
        <v>2464</v>
      </c>
      <c r="B370" t="s">
        <v>916</v>
      </c>
      <c r="C370">
        <v>29.1</v>
      </c>
      <c r="Y370" s="46"/>
      <c r="Z370" s="46"/>
      <c r="AD370" s="46"/>
    </row>
    <row r="371" spans="1:30">
      <c r="A371">
        <v>2465</v>
      </c>
      <c r="B371" t="s">
        <v>917</v>
      </c>
      <c r="C371">
        <v>9.94</v>
      </c>
      <c r="Y371" s="46"/>
      <c r="Z371" s="46"/>
      <c r="AD371" s="46"/>
    </row>
    <row r="372" spans="1:30">
      <c r="A372">
        <v>2466</v>
      </c>
      <c r="B372" t="s">
        <v>918</v>
      </c>
      <c r="C372">
        <v>33.75</v>
      </c>
      <c r="Y372" s="46"/>
      <c r="Z372" s="46"/>
      <c r="AD372" s="46"/>
    </row>
    <row r="373" spans="1:30">
      <c r="A373">
        <v>2467</v>
      </c>
      <c r="B373" t="s">
        <v>919</v>
      </c>
      <c r="C373">
        <v>13.65</v>
      </c>
      <c r="Y373" s="46"/>
      <c r="Z373" s="46"/>
      <c r="AA373" s="46"/>
      <c r="AD373" s="46"/>
    </row>
    <row r="374" spans="1:30">
      <c r="A374">
        <v>2468</v>
      </c>
      <c r="B374" t="s">
        <v>920</v>
      </c>
      <c r="C374">
        <v>10.6</v>
      </c>
      <c r="Y374" s="46"/>
      <c r="Z374" s="46"/>
      <c r="AA374" s="46"/>
      <c r="AD374" s="46"/>
    </row>
    <row r="375" spans="1:30">
      <c r="A375">
        <v>2471</v>
      </c>
      <c r="B375" t="s">
        <v>921</v>
      </c>
      <c r="C375">
        <v>13.9</v>
      </c>
      <c r="Y375" s="46"/>
      <c r="Z375" s="46"/>
      <c r="AA375" s="46"/>
      <c r="AD375" s="46"/>
    </row>
    <row r="376" spans="1:30">
      <c r="A376">
        <v>2472</v>
      </c>
      <c r="B376" t="s">
        <v>1859</v>
      </c>
      <c r="C376">
        <v>23.45</v>
      </c>
      <c r="Y376" s="46"/>
      <c r="Z376" s="46"/>
      <c r="AA376" s="46"/>
      <c r="AD376" s="46"/>
    </row>
    <row r="377" spans="1:30">
      <c r="A377">
        <v>2474</v>
      </c>
      <c r="B377" t="s">
        <v>922</v>
      </c>
      <c r="C377">
        <v>319</v>
      </c>
      <c r="Y377" s="46"/>
      <c r="Z377" s="46"/>
      <c r="AA377" s="46"/>
      <c r="AD377" s="46"/>
    </row>
    <row r="378" spans="1:30">
      <c r="A378">
        <v>2475</v>
      </c>
      <c r="B378" t="s">
        <v>923</v>
      </c>
      <c r="C378">
        <v>0.74</v>
      </c>
      <c r="Y378" s="46"/>
      <c r="Z378" s="46"/>
      <c r="AD378" s="46"/>
    </row>
    <row r="379" spans="1:30">
      <c r="A379">
        <v>2476</v>
      </c>
      <c r="B379" t="s">
        <v>924</v>
      </c>
      <c r="C379">
        <v>21.75</v>
      </c>
      <c r="Y379" s="46"/>
      <c r="Z379" s="46"/>
      <c r="AD379" s="46"/>
    </row>
    <row r="380" spans="1:30">
      <c r="A380">
        <v>2477</v>
      </c>
      <c r="B380" t="s">
        <v>925</v>
      </c>
      <c r="C380">
        <v>12.6</v>
      </c>
      <c r="Y380" s="46"/>
      <c r="Z380" s="46"/>
      <c r="AD380" s="46"/>
    </row>
    <row r="381" spans="1:30">
      <c r="A381">
        <v>2478</v>
      </c>
      <c r="B381" t="s">
        <v>926</v>
      </c>
      <c r="C381">
        <v>14.95</v>
      </c>
      <c r="Y381" s="46"/>
      <c r="Z381" s="46"/>
      <c r="AA381" s="46"/>
      <c r="AD381" s="46"/>
    </row>
    <row r="382" spans="1:30">
      <c r="A382">
        <v>2480</v>
      </c>
      <c r="B382" t="s">
        <v>927</v>
      </c>
      <c r="C382">
        <v>25.15</v>
      </c>
      <c r="Y382" s="46"/>
      <c r="Z382" s="46"/>
      <c r="AA382" s="46"/>
      <c r="AD382" s="46"/>
    </row>
    <row r="383" spans="1:30">
      <c r="A383">
        <v>2481</v>
      </c>
      <c r="B383" t="s">
        <v>928</v>
      </c>
      <c r="C383">
        <v>12.2</v>
      </c>
      <c r="Y383" s="46"/>
      <c r="Z383" s="46"/>
      <c r="AA383" s="46"/>
      <c r="AD383" s="46"/>
    </row>
    <row r="384" spans="1:30">
      <c r="A384">
        <v>2482</v>
      </c>
      <c r="B384" t="s">
        <v>929</v>
      </c>
      <c r="C384">
        <v>13.95</v>
      </c>
      <c r="Y384" s="46"/>
      <c r="Z384" s="46"/>
      <c r="AD384" s="46"/>
    </row>
    <row r="385" spans="1:30">
      <c r="A385">
        <v>2483</v>
      </c>
      <c r="B385" t="s">
        <v>930</v>
      </c>
      <c r="C385">
        <v>21.8</v>
      </c>
      <c r="Y385" s="46"/>
      <c r="Z385" s="46"/>
      <c r="AD385" s="46"/>
    </row>
    <row r="386" spans="1:30">
      <c r="A386">
        <v>2484</v>
      </c>
      <c r="B386" t="s">
        <v>931</v>
      </c>
      <c r="C386">
        <v>19.05</v>
      </c>
      <c r="Y386" s="46"/>
      <c r="Z386" s="46"/>
      <c r="AA386" s="46"/>
      <c r="AD386" s="46"/>
    </row>
    <row r="387" spans="1:30">
      <c r="A387">
        <v>2485</v>
      </c>
      <c r="B387" t="s">
        <v>932</v>
      </c>
      <c r="C387">
        <v>42.2</v>
      </c>
      <c r="Y387" s="46"/>
      <c r="Z387" s="46"/>
      <c r="AA387" s="46"/>
      <c r="AD387" s="46"/>
    </row>
    <row r="388" spans="1:30">
      <c r="A388">
        <v>2486</v>
      </c>
      <c r="B388" t="s">
        <v>933</v>
      </c>
      <c r="C388">
        <v>10.7</v>
      </c>
      <c r="Y388" s="46"/>
      <c r="Z388" s="46"/>
      <c r="AD388" s="46"/>
    </row>
    <row r="389" spans="1:30">
      <c r="A389">
        <v>2488</v>
      </c>
      <c r="B389" t="s">
        <v>934</v>
      </c>
      <c r="C389">
        <v>28.55</v>
      </c>
      <c r="Y389" s="46"/>
      <c r="Z389" s="46"/>
      <c r="AD389" s="46"/>
    </row>
    <row r="390" spans="1:30">
      <c r="A390">
        <v>2489</v>
      </c>
      <c r="B390" t="s">
        <v>935</v>
      </c>
      <c r="C390">
        <v>16.100000000000001</v>
      </c>
      <c r="Y390" s="46"/>
      <c r="Z390" s="46"/>
      <c r="AD390" s="46"/>
    </row>
    <row r="391" spans="1:30">
      <c r="A391">
        <v>2491</v>
      </c>
      <c r="B391" t="s">
        <v>936</v>
      </c>
      <c r="C391">
        <v>7.55</v>
      </c>
      <c r="Y391" s="46"/>
      <c r="Z391" s="46"/>
      <c r="AD391" s="46"/>
    </row>
    <row r="392" spans="1:30">
      <c r="A392">
        <v>2492</v>
      </c>
      <c r="B392" t="s">
        <v>937</v>
      </c>
      <c r="C392">
        <v>17.55</v>
      </c>
      <c r="Y392" s="46"/>
      <c r="Z392" s="46"/>
      <c r="AD392" s="46"/>
    </row>
    <row r="393" spans="1:30">
      <c r="A393">
        <v>2493</v>
      </c>
      <c r="B393" t="s">
        <v>938</v>
      </c>
      <c r="C393">
        <v>21.1</v>
      </c>
      <c r="Y393" s="46"/>
      <c r="Z393" s="46"/>
      <c r="AA393" s="46"/>
      <c r="AD393" s="46"/>
    </row>
    <row r="394" spans="1:30">
      <c r="A394">
        <v>2495</v>
      </c>
      <c r="B394" t="s">
        <v>939</v>
      </c>
      <c r="C394">
        <v>14.05</v>
      </c>
      <c r="Y394" s="46"/>
      <c r="Z394" s="46"/>
      <c r="AA394" s="46"/>
      <c r="AD394" s="46"/>
    </row>
    <row r="395" spans="1:30">
      <c r="A395">
        <v>2496</v>
      </c>
      <c r="B395" t="s">
        <v>940</v>
      </c>
      <c r="C395">
        <v>9.6999999999999993</v>
      </c>
      <c r="Y395" s="46"/>
      <c r="Z395" s="46"/>
      <c r="AA395" s="46"/>
      <c r="AD395" s="46"/>
    </row>
    <row r="396" spans="1:30">
      <c r="A396">
        <v>2497</v>
      </c>
      <c r="B396" t="s">
        <v>941</v>
      </c>
      <c r="C396">
        <v>40.6</v>
      </c>
      <c r="Y396" s="46"/>
      <c r="Z396" s="46"/>
      <c r="AA396" s="46"/>
      <c r="AD396" s="46"/>
    </row>
    <row r="397" spans="1:30">
      <c r="A397">
        <v>2498</v>
      </c>
      <c r="B397" t="s">
        <v>942</v>
      </c>
      <c r="C397">
        <v>80</v>
      </c>
      <c r="Y397" s="46"/>
      <c r="Z397" s="46"/>
      <c r="AA397" s="46"/>
      <c r="AD397" s="46"/>
    </row>
    <row r="398" spans="1:30">
      <c r="A398">
        <v>2499</v>
      </c>
      <c r="B398" t="s">
        <v>943</v>
      </c>
      <c r="C398">
        <v>20.399999999999999</v>
      </c>
      <c r="Y398" s="46"/>
      <c r="Z398" s="46"/>
      <c r="AA398" s="46"/>
      <c r="AD398" s="46"/>
    </row>
    <row r="399" spans="1:30">
      <c r="A399">
        <v>2501</v>
      </c>
      <c r="B399" t="s">
        <v>944</v>
      </c>
      <c r="C399">
        <v>13.9</v>
      </c>
      <c r="Y399" s="46"/>
      <c r="Z399" s="46"/>
      <c r="AD399" s="46"/>
    </row>
    <row r="400" spans="1:30">
      <c r="A400">
        <v>2504</v>
      </c>
      <c r="B400" t="s">
        <v>945</v>
      </c>
      <c r="C400">
        <v>9.43</v>
      </c>
      <c r="Y400" s="46"/>
      <c r="Z400" s="46"/>
      <c r="AD400" s="46"/>
    </row>
    <row r="401" spans="1:30">
      <c r="A401">
        <v>2505</v>
      </c>
      <c r="B401" t="s">
        <v>946</v>
      </c>
      <c r="C401">
        <v>11.45</v>
      </c>
      <c r="Y401" s="46"/>
      <c r="Z401" s="46"/>
      <c r="AA401" s="46"/>
      <c r="AD401" s="46"/>
    </row>
    <row r="402" spans="1:30">
      <c r="A402">
        <v>2506</v>
      </c>
      <c r="B402" t="s">
        <v>947</v>
      </c>
      <c r="C402">
        <v>16.2</v>
      </c>
      <c r="Y402" s="46"/>
      <c r="Z402" s="46"/>
      <c r="AA402" s="46"/>
      <c r="AD402" s="46"/>
    </row>
    <row r="403" spans="1:30">
      <c r="A403">
        <v>2509</v>
      </c>
      <c r="B403" t="s">
        <v>948</v>
      </c>
      <c r="C403">
        <v>22.7</v>
      </c>
      <c r="Y403" s="46"/>
      <c r="Z403" s="46"/>
      <c r="AA403" s="46"/>
      <c r="AD403" s="46"/>
    </row>
    <row r="404" spans="1:30">
      <c r="A404">
        <v>2511</v>
      </c>
      <c r="B404" t="s">
        <v>949</v>
      </c>
      <c r="C404">
        <v>9.74</v>
      </c>
      <c r="Y404" s="46"/>
      <c r="Z404" s="46"/>
      <c r="AD404" s="46"/>
    </row>
    <row r="405" spans="1:30">
      <c r="A405">
        <v>2514</v>
      </c>
      <c r="B405" t="s">
        <v>950</v>
      </c>
      <c r="C405">
        <v>20.399999999999999</v>
      </c>
      <c r="Y405" s="46"/>
      <c r="Z405" s="46"/>
      <c r="AD405" s="46"/>
    </row>
    <row r="406" spans="1:30">
      <c r="A406">
        <v>2515</v>
      </c>
      <c r="B406" t="s">
        <v>951</v>
      </c>
      <c r="C406">
        <v>7.53</v>
      </c>
      <c r="Y406" s="46"/>
      <c r="Z406" s="46"/>
      <c r="AA406" s="46"/>
      <c r="AD406" s="46"/>
    </row>
    <row r="407" spans="1:30">
      <c r="A407">
        <v>2516</v>
      </c>
      <c r="B407" t="s">
        <v>952</v>
      </c>
      <c r="C407">
        <v>6.78</v>
      </c>
      <c r="Y407" s="46"/>
      <c r="Z407" s="46"/>
      <c r="AA407" s="46"/>
      <c r="AD407" s="46"/>
    </row>
    <row r="408" spans="1:30">
      <c r="A408">
        <v>2520</v>
      </c>
      <c r="B408" t="s">
        <v>953</v>
      </c>
      <c r="C408">
        <v>17.25</v>
      </c>
      <c r="Y408" s="46"/>
      <c r="Z408" s="46"/>
      <c r="AD408" s="46"/>
    </row>
    <row r="409" spans="1:30">
      <c r="A409">
        <v>2524</v>
      </c>
      <c r="B409" t="s">
        <v>954</v>
      </c>
      <c r="C409">
        <v>18.649999999999999</v>
      </c>
      <c r="Y409" s="46"/>
      <c r="Z409" s="46"/>
      <c r="AD409" s="46"/>
    </row>
    <row r="410" spans="1:30">
      <c r="A410">
        <v>2527</v>
      </c>
      <c r="B410" t="s">
        <v>955</v>
      </c>
      <c r="C410">
        <v>16.75</v>
      </c>
      <c r="Y410" s="46"/>
      <c r="Z410" s="46"/>
      <c r="AD410" s="46"/>
    </row>
    <row r="411" spans="1:30">
      <c r="A411">
        <v>2528</v>
      </c>
      <c r="B411" t="s">
        <v>956</v>
      </c>
      <c r="C411">
        <v>9.89</v>
      </c>
      <c r="Y411" s="46"/>
      <c r="Z411" s="46"/>
      <c r="AA411" s="46"/>
      <c r="AD411" s="46"/>
    </row>
    <row r="412" spans="1:30">
      <c r="A412">
        <v>2530</v>
      </c>
      <c r="B412" t="s">
        <v>957</v>
      </c>
      <c r="C412">
        <v>17</v>
      </c>
      <c r="Y412" s="46"/>
      <c r="Z412" s="46"/>
      <c r="AA412" s="46"/>
      <c r="AD412" s="46"/>
    </row>
    <row r="413" spans="1:30">
      <c r="A413">
        <v>2534</v>
      </c>
      <c r="B413" t="s">
        <v>958</v>
      </c>
      <c r="C413">
        <v>17.5</v>
      </c>
      <c r="Y413" s="46"/>
      <c r="Z413" s="46"/>
      <c r="AA413" s="46"/>
      <c r="AD413" s="46"/>
    </row>
    <row r="414" spans="1:30">
      <c r="A414">
        <v>2535</v>
      </c>
      <c r="B414" t="s">
        <v>959</v>
      </c>
      <c r="C414">
        <v>14.6</v>
      </c>
      <c r="Y414" s="46"/>
      <c r="Z414" s="46"/>
      <c r="AD414" s="46"/>
    </row>
    <row r="415" spans="1:30">
      <c r="A415">
        <v>2536</v>
      </c>
      <c r="B415" t="s">
        <v>960</v>
      </c>
      <c r="C415">
        <v>22.15</v>
      </c>
      <c r="Y415" s="46"/>
      <c r="Z415" s="46"/>
      <c r="AA415" s="46"/>
      <c r="AD415" s="46"/>
    </row>
    <row r="416" spans="1:30">
      <c r="A416">
        <v>2537</v>
      </c>
      <c r="B416" t="s">
        <v>961</v>
      </c>
      <c r="C416">
        <v>8.1999999999999993</v>
      </c>
      <c r="Y416" s="46"/>
      <c r="Z416" s="46"/>
      <c r="AA416" s="46"/>
      <c r="AD416" s="46"/>
    </row>
    <row r="417" spans="1:30">
      <c r="A417">
        <v>2538</v>
      </c>
      <c r="B417" t="s">
        <v>962</v>
      </c>
      <c r="C417">
        <v>16.5</v>
      </c>
      <c r="Y417" s="46"/>
      <c r="Z417" s="46"/>
      <c r="AD417" s="46"/>
    </row>
    <row r="418" spans="1:30">
      <c r="A418">
        <v>2539</v>
      </c>
      <c r="B418" t="s">
        <v>963</v>
      </c>
      <c r="C418">
        <v>23.5</v>
      </c>
      <c r="Y418" s="46"/>
      <c r="Z418" s="46"/>
      <c r="AD418" s="46"/>
    </row>
    <row r="419" spans="1:30">
      <c r="A419">
        <v>2540</v>
      </c>
      <c r="B419" t="s">
        <v>964</v>
      </c>
      <c r="C419" t="s">
        <v>1908</v>
      </c>
      <c r="Y419" s="46"/>
      <c r="Z419" s="46"/>
      <c r="AD419" s="46"/>
    </row>
    <row r="420" spans="1:30">
      <c r="A420">
        <v>2542</v>
      </c>
      <c r="B420" t="s">
        <v>965</v>
      </c>
      <c r="C420">
        <v>41</v>
      </c>
      <c r="Y420" s="46"/>
      <c r="Z420" s="46"/>
      <c r="AD420" s="46"/>
    </row>
    <row r="421" spans="1:30">
      <c r="A421">
        <v>2543</v>
      </c>
      <c r="B421" t="s">
        <v>966</v>
      </c>
      <c r="C421">
        <v>8.35</v>
      </c>
      <c r="Y421" s="46"/>
      <c r="Z421" s="46"/>
      <c r="AD421" s="46"/>
    </row>
    <row r="422" spans="1:30">
      <c r="A422">
        <v>2545</v>
      </c>
      <c r="B422" t="s">
        <v>967</v>
      </c>
      <c r="C422">
        <v>25.1</v>
      </c>
      <c r="Y422" s="46"/>
      <c r="Z422" s="46"/>
      <c r="AD422" s="46"/>
    </row>
    <row r="423" spans="1:30">
      <c r="A423">
        <v>2546</v>
      </c>
      <c r="B423" t="s">
        <v>968</v>
      </c>
      <c r="C423">
        <v>15.1</v>
      </c>
      <c r="Y423" s="46"/>
      <c r="Z423" s="46"/>
      <c r="AD423" s="46"/>
    </row>
    <row r="424" spans="1:30">
      <c r="A424">
        <v>2547</v>
      </c>
      <c r="B424" t="s">
        <v>969</v>
      </c>
      <c r="C424">
        <v>11.85</v>
      </c>
      <c r="Y424" s="46"/>
      <c r="Z424" s="46"/>
      <c r="AD424" s="46"/>
    </row>
    <row r="425" spans="1:30">
      <c r="A425">
        <v>2548</v>
      </c>
      <c r="B425" t="s">
        <v>970</v>
      </c>
      <c r="C425">
        <v>63.9</v>
      </c>
      <c r="Y425" s="46"/>
      <c r="Z425" s="46"/>
      <c r="AA425" s="46"/>
      <c r="AD425" s="46"/>
    </row>
    <row r="426" spans="1:30">
      <c r="A426">
        <v>2597</v>
      </c>
      <c r="B426" t="s">
        <v>971</v>
      </c>
      <c r="C426">
        <v>37.549999999999997</v>
      </c>
      <c r="Y426" s="46"/>
      <c r="Z426" s="46"/>
      <c r="AD426" s="46"/>
    </row>
    <row r="427" spans="1:30">
      <c r="A427">
        <v>2601</v>
      </c>
      <c r="B427" t="s">
        <v>972</v>
      </c>
      <c r="C427">
        <v>10.7</v>
      </c>
      <c r="Y427" s="46"/>
      <c r="Z427" s="46"/>
      <c r="AA427" s="46"/>
      <c r="AD427" s="46"/>
    </row>
    <row r="428" spans="1:30">
      <c r="A428">
        <v>2603</v>
      </c>
      <c r="B428" t="s">
        <v>973</v>
      </c>
      <c r="C428">
        <v>14</v>
      </c>
      <c r="M428" s="46"/>
      <c r="Y428" s="46"/>
      <c r="Z428" s="46"/>
      <c r="AA428" s="46"/>
      <c r="AD428" s="46"/>
    </row>
    <row r="429" spans="1:30">
      <c r="A429">
        <v>2605</v>
      </c>
      <c r="B429" t="s">
        <v>974</v>
      </c>
      <c r="C429">
        <v>17.899999999999999</v>
      </c>
      <c r="Y429" s="46"/>
      <c r="Z429" s="46"/>
      <c r="AA429" s="46"/>
      <c r="AD429" s="46"/>
    </row>
    <row r="430" spans="1:30">
      <c r="A430">
        <v>2606</v>
      </c>
      <c r="B430" t="s">
        <v>975</v>
      </c>
      <c r="C430">
        <v>35.1</v>
      </c>
      <c r="Y430" s="46"/>
      <c r="Z430" s="46"/>
      <c r="AA430" s="46"/>
      <c r="AD430" s="46"/>
    </row>
    <row r="431" spans="1:30">
      <c r="A431">
        <v>2607</v>
      </c>
      <c r="B431" t="s">
        <v>976</v>
      </c>
      <c r="C431">
        <v>13.25</v>
      </c>
      <c r="Y431" s="46"/>
      <c r="Z431" s="46"/>
      <c r="AA431" s="46"/>
      <c r="AD431" s="46"/>
    </row>
    <row r="432" spans="1:30">
      <c r="A432">
        <v>2608</v>
      </c>
      <c r="B432" t="s">
        <v>977</v>
      </c>
      <c r="C432">
        <v>38.549999999999997</v>
      </c>
      <c r="Y432" s="46"/>
      <c r="Z432" s="46"/>
      <c r="AA432" s="46"/>
      <c r="AD432" s="46"/>
    </row>
    <row r="433" spans="1:30">
      <c r="A433">
        <v>2609</v>
      </c>
      <c r="B433" t="s">
        <v>978</v>
      </c>
      <c r="C433">
        <v>9.26</v>
      </c>
      <c r="Y433" s="46"/>
      <c r="Z433" s="46"/>
      <c r="AD433" s="46"/>
    </row>
    <row r="434" spans="1:30">
      <c r="A434">
        <v>2610</v>
      </c>
      <c r="B434" t="s">
        <v>979</v>
      </c>
      <c r="C434">
        <v>11.6</v>
      </c>
      <c r="Y434" s="46"/>
      <c r="Z434" s="46"/>
      <c r="AA434" s="46"/>
      <c r="AD434" s="46"/>
    </row>
    <row r="435" spans="1:30">
      <c r="A435">
        <v>2611</v>
      </c>
      <c r="B435" t="s">
        <v>980</v>
      </c>
      <c r="C435">
        <v>7.8</v>
      </c>
      <c r="Y435" s="46"/>
      <c r="Z435" s="46"/>
      <c r="AA435" s="46"/>
      <c r="AD435" s="46"/>
    </row>
    <row r="436" spans="1:30">
      <c r="A436">
        <v>2612</v>
      </c>
      <c r="B436" t="s">
        <v>981</v>
      </c>
      <c r="C436">
        <v>22.6</v>
      </c>
      <c r="Y436" s="46"/>
      <c r="Z436" s="46"/>
      <c r="AA436" s="46"/>
      <c r="AD436" s="46"/>
    </row>
    <row r="437" spans="1:30">
      <c r="A437">
        <v>2613</v>
      </c>
      <c r="B437" t="s">
        <v>982</v>
      </c>
      <c r="C437">
        <v>13.95</v>
      </c>
      <c r="Y437" s="46"/>
      <c r="Z437" s="46"/>
      <c r="AD437" s="46"/>
    </row>
    <row r="438" spans="1:30">
      <c r="A438">
        <v>2614</v>
      </c>
      <c r="B438" t="s">
        <v>983</v>
      </c>
      <c r="C438">
        <v>7.26</v>
      </c>
      <c r="Y438" s="46"/>
      <c r="Z438" s="46"/>
      <c r="AD438" s="46"/>
    </row>
    <row r="439" spans="1:30">
      <c r="A439">
        <v>2615</v>
      </c>
      <c r="B439" t="s">
        <v>984</v>
      </c>
      <c r="C439">
        <v>19</v>
      </c>
      <c r="Y439" s="46"/>
      <c r="Z439" s="46"/>
      <c r="AD439" s="46"/>
    </row>
    <row r="440" spans="1:30">
      <c r="A440">
        <v>2616</v>
      </c>
      <c r="B440" t="s">
        <v>985</v>
      </c>
      <c r="C440">
        <v>23</v>
      </c>
      <c r="Y440" s="46"/>
      <c r="Z440" s="46"/>
      <c r="AD440" s="46"/>
    </row>
    <row r="441" spans="1:30">
      <c r="A441">
        <v>2617</v>
      </c>
      <c r="B441" t="s">
        <v>986</v>
      </c>
      <c r="C441">
        <v>13.2</v>
      </c>
      <c r="Y441" s="46"/>
      <c r="Z441" s="46"/>
      <c r="AD441" s="46"/>
    </row>
    <row r="442" spans="1:30">
      <c r="A442">
        <v>2618</v>
      </c>
      <c r="B442" t="s">
        <v>987</v>
      </c>
      <c r="C442">
        <v>18.899999999999999</v>
      </c>
      <c r="Y442" s="46"/>
      <c r="Z442" s="46"/>
      <c r="AD442" s="46"/>
    </row>
    <row r="443" spans="1:30">
      <c r="A443">
        <v>2634</v>
      </c>
      <c r="B443" t="s">
        <v>988</v>
      </c>
      <c r="C443">
        <v>41.45</v>
      </c>
      <c r="Y443" s="46"/>
      <c r="Z443" s="46"/>
      <c r="AD443" s="46"/>
    </row>
    <row r="444" spans="1:30">
      <c r="A444">
        <v>2637</v>
      </c>
      <c r="B444" t="s">
        <v>989</v>
      </c>
      <c r="C444">
        <v>36.6</v>
      </c>
      <c r="Y444" s="46"/>
      <c r="Z444" s="46"/>
      <c r="AD444" s="46"/>
    </row>
    <row r="445" spans="1:30">
      <c r="A445">
        <v>2642</v>
      </c>
      <c r="B445" t="s">
        <v>990</v>
      </c>
      <c r="C445">
        <v>31.6</v>
      </c>
      <c r="Y445" s="46"/>
      <c r="Z445" s="46"/>
      <c r="AD445" s="46"/>
    </row>
    <row r="446" spans="1:30">
      <c r="A446">
        <v>2701</v>
      </c>
      <c r="B446" t="s">
        <v>991</v>
      </c>
      <c r="C446">
        <v>14.2</v>
      </c>
      <c r="Y446" s="46"/>
      <c r="Z446" s="46"/>
      <c r="AD446" s="46"/>
    </row>
    <row r="447" spans="1:30">
      <c r="A447">
        <v>2702</v>
      </c>
      <c r="B447" t="s">
        <v>992</v>
      </c>
      <c r="C447">
        <v>15.25</v>
      </c>
      <c r="Y447" s="46"/>
      <c r="Z447" s="46"/>
      <c r="AD447" s="46"/>
    </row>
    <row r="448" spans="1:30">
      <c r="A448">
        <v>2704</v>
      </c>
      <c r="B448" t="s">
        <v>993</v>
      </c>
      <c r="C448">
        <v>27.9</v>
      </c>
      <c r="Y448" s="46"/>
      <c r="Z448" s="46"/>
      <c r="AD448" s="46"/>
    </row>
    <row r="449" spans="1:30">
      <c r="A449">
        <v>2705</v>
      </c>
      <c r="B449" t="s">
        <v>994</v>
      </c>
      <c r="C449">
        <v>10.15</v>
      </c>
      <c r="Y449" s="46"/>
      <c r="Z449" s="46"/>
      <c r="AD449" s="46"/>
    </row>
    <row r="450" spans="1:30">
      <c r="A450">
        <v>2706</v>
      </c>
      <c r="B450" t="s">
        <v>995</v>
      </c>
      <c r="C450">
        <v>19.5</v>
      </c>
      <c r="Y450" s="46"/>
      <c r="Z450" s="46"/>
      <c r="AD450" s="46"/>
    </row>
    <row r="451" spans="1:30">
      <c r="A451">
        <v>2707</v>
      </c>
      <c r="B451" t="s">
        <v>996</v>
      </c>
      <c r="C451">
        <v>230</v>
      </c>
      <c r="Y451" s="46"/>
      <c r="Z451" s="46"/>
      <c r="AD451" s="46"/>
    </row>
    <row r="452" spans="1:30">
      <c r="A452">
        <v>2712</v>
      </c>
      <c r="B452" t="s">
        <v>997</v>
      </c>
      <c r="C452">
        <v>24</v>
      </c>
      <c r="Y452" s="46"/>
      <c r="Z452" s="46"/>
      <c r="AA452" s="46"/>
      <c r="AD452" s="46"/>
    </row>
    <row r="453" spans="1:30">
      <c r="A453">
        <v>2722</v>
      </c>
      <c r="B453" t="s">
        <v>998</v>
      </c>
      <c r="C453">
        <v>44.85</v>
      </c>
      <c r="Y453" s="46"/>
      <c r="Z453" s="46"/>
      <c r="AD453" s="46"/>
    </row>
    <row r="454" spans="1:30">
      <c r="A454">
        <v>2723</v>
      </c>
      <c r="B454" t="s">
        <v>999</v>
      </c>
      <c r="C454">
        <v>223</v>
      </c>
      <c r="Y454" s="46"/>
      <c r="Z454" s="46"/>
      <c r="AD454" s="46"/>
    </row>
    <row r="455" spans="1:30">
      <c r="A455">
        <v>2727</v>
      </c>
      <c r="B455" t="s">
        <v>1000</v>
      </c>
      <c r="C455">
        <v>163</v>
      </c>
      <c r="Y455" s="46"/>
      <c r="Z455" s="46"/>
      <c r="AD455" s="46"/>
    </row>
    <row r="456" spans="1:30">
      <c r="A456">
        <v>2731</v>
      </c>
      <c r="B456" t="s">
        <v>1001</v>
      </c>
      <c r="C456">
        <v>130.5</v>
      </c>
      <c r="Y456" s="46"/>
      <c r="Z456" s="46"/>
      <c r="AD456" s="46"/>
    </row>
    <row r="457" spans="1:30">
      <c r="A457">
        <v>2801</v>
      </c>
      <c r="B457" t="s">
        <v>1002</v>
      </c>
      <c r="C457">
        <v>16.25</v>
      </c>
      <c r="Y457" s="46"/>
      <c r="Z457" s="46"/>
      <c r="AD457" s="46"/>
    </row>
    <row r="458" spans="1:30">
      <c r="A458">
        <v>2809</v>
      </c>
      <c r="B458" t="s">
        <v>1003</v>
      </c>
      <c r="C458">
        <v>25.05</v>
      </c>
      <c r="Y458" s="46"/>
      <c r="Z458" s="46"/>
      <c r="AD458" s="46"/>
    </row>
    <row r="459" spans="1:30">
      <c r="A459">
        <v>2812</v>
      </c>
      <c r="B459" t="s">
        <v>1004</v>
      </c>
      <c r="C459">
        <v>9.8699999999999992</v>
      </c>
      <c r="Y459" s="46"/>
      <c r="Z459" s="46"/>
      <c r="AD459" s="46"/>
    </row>
    <row r="460" spans="1:30">
      <c r="A460">
        <v>2816</v>
      </c>
      <c r="B460" t="s">
        <v>1005</v>
      </c>
      <c r="C460">
        <v>17.899999999999999</v>
      </c>
      <c r="Y460" s="46"/>
      <c r="Z460" s="46"/>
      <c r="AD460" s="46"/>
    </row>
    <row r="461" spans="1:30">
      <c r="A461">
        <v>2820</v>
      </c>
      <c r="B461" t="s">
        <v>1006</v>
      </c>
      <c r="C461">
        <v>11.35</v>
      </c>
      <c r="Y461" s="46"/>
      <c r="Z461" s="46"/>
      <c r="AD461" s="46"/>
    </row>
    <row r="462" spans="1:30">
      <c r="A462">
        <v>2823</v>
      </c>
      <c r="B462" t="s">
        <v>1007</v>
      </c>
      <c r="C462">
        <v>26.5</v>
      </c>
      <c r="Y462" s="46"/>
      <c r="Z462" s="46"/>
      <c r="AD462" s="46"/>
    </row>
    <row r="463" spans="1:30">
      <c r="A463">
        <v>2832</v>
      </c>
      <c r="B463" t="s">
        <v>1008</v>
      </c>
      <c r="C463">
        <v>21.9</v>
      </c>
      <c r="Y463" s="46"/>
      <c r="Z463" s="46"/>
      <c r="AD463" s="46"/>
    </row>
    <row r="464" spans="1:30">
      <c r="A464">
        <v>2834</v>
      </c>
      <c r="B464" t="s">
        <v>1009</v>
      </c>
      <c r="C464">
        <v>8.26</v>
      </c>
      <c r="Y464" s="46"/>
      <c r="Z464" s="46"/>
      <c r="AA464" s="46"/>
      <c r="AD464" s="46"/>
    </row>
    <row r="465" spans="1:30">
      <c r="A465">
        <v>2836</v>
      </c>
      <c r="B465" t="s">
        <v>1010</v>
      </c>
      <c r="C465">
        <v>8.7100000000000009</v>
      </c>
      <c r="Y465" s="46"/>
      <c r="Z465" s="46"/>
      <c r="AD465" s="46"/>
    </row>
    <row r="466" spans="1:30">
      <c r="A466">
        <v>2838</v>
      </c>
      <c r="B466" t="s">
        <v>1011</v>
      </c>
      <c r="C466">
        <v>9.61</v>
      </c>
      <c r="Y466" s="46"/>
      <c r="Z466" s="46"/>
      <c r="AD466" s="46"/>
    </row>
    <row r="467" spans="1:30">
      <c r="A467">
        <v>2841</v>
      </c>
      <c r="B467" t="s">
        <v>1012</v>
      </c>
      <c r="C467">
        <v>10.8</v>
      </c>
      <c r="Y467" s="46"/>
      <c r="Z467" s="46"/>
      <c r="AD467" s="46"/>
    </row>
    <row r="468" spans="1:30">
      <c r="A468">
        <v>2845</v>
      </c>
      <c r="B468" t="s">
        <v>1013</v>
      </c>
      <c r="C468">
        <v>10</v>
      </c>
      <c r="Y468" s="46"/>
      <c r="Z468" s="46"/>
      <c r="AA468" s="46"/>
      <c r="AD468" s="46"/>
    </row>
    <row r="469" spans="1:30">
      <c r="A469">
        <v>2847</v>
      </c>
      <c r="B469" t="s">
        <v>1014</v>
      </c>
      <c r="C469">
        <v>13.7</v>
      </c>
      <c r="M469" s="46"/>
      <c r="Y469" s="46"/>
      <c r="Z469" s="46"/>
      <c r="AD469" s="46"/>
    </row>
    <row r="470" spans="1:30">
      <c r="A470">
        <v>2849</v>
      </c>
      <c r="B470" t="s">
        <v>1015</v>
      </c>
      <c r="C470">
        <v>15.55</v>
      </c>
      <c r="Y470" s="46"/>
      <c r="Z470" s="46"/>
      <c r="AD470" s="46"/>
    </row>
    <row r="471" spans="1:30">
      <c r="A471">
        <v>2850</v>
      </c>
      <c r="B471" t="s">
        <v>1016</v>
      </c>
      <c r="C471">
        <v>22.35</v>
      </c>
      <c r="Y471" s="46"/>
      <c r="Z471" s="46"/>
      <c r="AA471" s="46"/>
      <c r="AD471" s="46"/>
    </row>
    <row r="472" spans="1:30">
      <c r="A472">
        <v>2851</v>
      </c>
      <c r="B472" t="s">
        <v>1017</v>
      </c>
      <c r="C472">
        <v>15.15</v>
      </c>
      <c r="Y472" s="46"/>
      <c r="Z472" s="46"/>
      <c r="AA472" s="46"/>
      <c r="AD472" s="46"/>
    </row>
    <row r="473" spans="1:30">
      <c r="A473">
        <v>2852</v>
      </c>
      <c r="B473" t="s">
        <v>1018</v>
      </c>
      <c r="C473">
        <v>12.7</v>
      </c>
      <c r="Y473" s="46"/>
      <c r="Z473" s="46"/>
      <c r="AA473" s="46"/>
      <c r="AD473" s="46"/>
    </row>
    <row r="474" spans="1:30">
      <c r="A474">
        <v>2855</v>
      </c>
      <c r="B474" t="s">
        <v>1019</v>
      </c>
      <c r="C474">
        <v>14.7</v>
      </c>
      <c r="Y474" s="46"/>
      <c r="Z474" s="46"/>
      <c r="AD474" s="46"/>
    </row>
    <row r="475" spans="1:30">
      <c r="A475">
        <v>2856</v>
      </c>
      <c r="B475" t="s">
        <v>1020</v>
      </c>
      <c r="C475">
        <v>9.5</v>
      </c>
      <c r="Y475" s="46"/>
      <c r="Z475" s="46"/>
      <c r="AD475" s="46"/>
    </row>
    <row r="476" spans="1:30">
      <c r="A476">
        <v>2867</v>
      </c>
      <c r="B476" t="s">
        <v>1021</v>
      </c>
      <c r="C476">
        <v>19.399999999999999</v>
      </c>
      <c r="Y476" s="46"/>
      <c r="Z476" s="46"/>
      <c r="AD476" s="46"/>
    </row>
    <row r="477" spans="1:30">
      <c r="A477">
        <v>2880</v>
      </c>
      <c r="B477" t="s">
        <v>1022</v>
      </c>
      <c r="C477">
        <v>15.65</v>
      </c>
      <c r="Y477" s="46"/>
      <c r="Z477" s="46"/>
      <c r="AD477" s="46"/>
    </row>
    <row r="478" spans="1:30">
      <c r="A478">
        <v>2881</v>
      </c>
      <c r="B478" t="s">
        <v>1023</v>
      </c>
      <c r="C478">
        <v>53.2</v>
      </c>
      <c r="M478" s="46"/>
      <c r="Y478" s="46"/>
      <c r="Z478" s="46"/>
      <c r="AD478" s="46"/>
    </row>
    <row r="479" spans="1:30">
      <c r="A479">
        <v>2882</v>
      </c>
      <c r="B479" t="s">
        <v>1024</v>
      </c>
      <c r="C479">
        <v>46.4</v>
      </c>
      <c r="Y479" s="46"/>
      <c r="Z479" s="46"/>
      <c r="AD479" s="46"/>
    </row>
    <row r="480" spans="1:30">
      <c r="A480">
        <v>2883</v>
      </c>
      <c r="B480" t="s">
        <v>1025</v>
      </c>
      <c r="C480">
        <v>8.6999999999999993</v>
      </c>
      <c r="Y480" s="46"/>
      <c r="Z480" s="46"/>
      <c r="AD480" s="46"/>
    </row>
    <row r="481" spans="1:30">
      <c r="A481">
        <v>2884</v>
      </c>
      <c r="B481" t="s">
        <v>1026</v>
      </c>
      <c r="C481">
        <v>19.649999999999999</v>
      </c>
      <c r="Y481" s="46"/>
      <c r="Z481" s="46"/>
      <c r="AD481" s="46"/>
    </row>
    <row r="482" spans="1:30">
      <c r="A482">
        <v>2885</v>
      </c>
      <c r="B482" t="s">
        <v>1027</v>
      </c>
      <c r="C482">
        <v>12.9</v>
      </c>
      <c r="M482" s="46"/>
      <c r="Y482" s="46"/>
      <c r="Z482" s="46"/>
      <c r="AD482" s="46"/>
    </row>
    <row r="483" spans="1:30">
      <c r="A483">
        <v>2886</v>
      </c>
      <c r="B483" t="s">
        <v>1028</v>
      </c>
      <c r="C483">
        <v>22.6</v>
      </c>
      <c r="Y483" s="46"/>
      <c r="Z483" s="46"/>
      <c r="AD483" s="46"/>
    </row>
    <row r="484" spans="1:30">
      <c r="A484">
        <v>2887</v>
      </c>
      <c r="B484" t="s">
        <v>1029</v>
      </c>
      <c r="C484">
        <v>12.35</v>
      </c>
      <c r="M484" s="46"/>
      <c r="Y484" s="46"/>
      <c r="Z484" s="46"/>
      <c r="AD484" s="46"/>
    </row>
    <row r="485" spans="1:30">
      <c r="A485">
        <v>2888</v>
      </c>
      <c r="B485" t="s">
        <v>1030</v>
      </c>
      <c r="C485">
        <v>7.58</v>
      </c>
      <c r="Y485" s="46"/>
      <c r="Z485" s="46"/>
      <c r="AD485" s="46"/>
    </row>
    <row r="486" spans="1:30">
      <c r="A486">
        <v>2889</v>
      </c>
      <c r="B486" t="s">
        <v>1031</v>
      </c>
      <c r="C486">
        <v>7.95</v>
      </c>
      <c r="Y486" s="46"/>
      <c r="Z486" s="46"/>
      <c r="AD486" s="46"/>
    </row>
    <row r="487" spans="1:30">
      <c r="A487">
        <v>2890</v>
      </c>
      <c r="B487" t="s">
        <v>1032</v>
      </c>
      <c r="C487">
        <v>10.5</v>
      </c>
      <c r="Y487" s="46"/>
      <c r="Z487" s="46"/>
      <c r="AD487" s="46"/>
    </row>
    <row r="488" spans="1:30">
      <c r="A488">
        <v>2891</v>
      </c>
      <c r="B488" t="s">
        <v>1033</v>
      </c>
      <c r="C488">
        <v>17.649999999999999</v>
      </c>
      <c r="O488" s="46"/>
      <c r="Y488" s="46"/>
      <c r="Z488" s="46"/>
      <c r="AD488" s="46"/>
    </row>
    <row r="489" spans="1:30">
      <c r="A489" t="s">
        <v>1034</v>
      </c>
      <c r="B489" t="s">
        <v>1035</v>
      </c>
      <c r="C489">
        <v>35.85</v>
      </c>
      <c r="Y489" s="46"/>
      <c r="Z489" s="46"/>
      <c r="AD489" s="46"/>
    </row>
    <row r="490" spans="1:30">
      <c r="A490">
        <v>2892</v>
      </c>
      <c r="B490" t="s">
        <v>1036</v>
      </c>
      <c r="C490">
        <v>15.4</v>
      </c>
      <c r="M490" s="46"/>
      <c r="Y490" s="46"/>
      <c r="Z490" s="46"/>
      <c r="AD490" s="46"/>
    </row>
    <row r="491" spans="1:30">
      <c r="A491">
        <v>2901</v>
      </c>
      <c r="B491" t="s">
        <v>1037</v>
      </c>
      <c r="C491">
        <v>26.7</v>
      </c>
      <c r="Y491" s="46"/>
      <c r="Z491" s="46"/>
      <c r="AA491" s="46"/>
      <c r="AD491" s="46"/>
    </row>
    <row r="492" spans="1:30">
      <c r="A492">
        <v>2903</v>
      </c>
      <c r="B492" t="s">
        <v>1038</v>
      </c>
      <c r="C492">
        <v>18.5</v>
      </c>
      <c r="Y492" s="46"/>
      <c r="Z492" s="46"/>
      <c r="AD492" s="46"/>
    </row>
    <row r="493" spans="1:30">
      <c r="A493">
        <v>2904</v>
      </c>
      <c r="B493" t="s">
        <v>1039</v>
      </c>
      <c r="C493">
        <v>25.65</v>
      </c>
      <c r="Y493" s="46"/>
      <c r="Z493" s="46"/>
      <c r="AA493" s="46"/>
      <c r="AD493" s="46"/>
    </row>
    <row r="494" spans="1:30">
      <c r="A494">
        <v>2905</v>
      </c>
      <c r="B494" t="s">
        <v>1040</v>
      </c>
      <c r="C494">
        <v>21.5</v>
      </c>
      <c r="Y494" s="46"/>
      <c r="Z494" s="46"/>
      <c r="AA494" s="46"/>
      <c r="AD494" s="46"/>
    </row>
    <row r="495" spans="1:30">
      <c r="A495">
        <v>2906</v>
      </c>
      <c r="B495" t="s">
        <v>1041</v>
      </c>
      <c r="C495">
        <v>12.5</v>
      </c>
      <c r="Y495" s="46"/>
      <c r="Z495" s="46"/>
      <c r="AA495" s="46"/>
      <c r="AD495" s="46"/>
    </row>
    <row r="496" spans="1:30">
      <c r="A496">
        <v>2908</v>
      </c>
      <c r="B496" t="s">
        <v>1042</v>
      </c>
      <c r="C496">
        <v>19.75</v>
      </c>
      <c r="Y496" s="46"/>
      <c r="Z496" s="46"/>
      <c r="AA496" s="46"/>
      <c r="AD496" s="46"/>
    </row>
    <row r="497" spans="1:30">
      <c r="A497">
        <v>2910</v>
      </c>
      <c r="B497" t="s">
        <v>1043</v>
      </c>
      <c r="C497">
        <v>29.3</v>
      </c>
      <c r="Y497" s="46"/>
      <c r="Z497" s="46"/>
      <c r="AD497" s="46"/>
    </row>
    <row r="498" spans="1:30">
      <c r="A498">
        <v>2911</v>
      </c>
      <c r="B498" t="s">
        <v>1044</v>
      </c>
      <c r="C498">
        <v>17.850000000000001</v>
      </c>
      <c r="Y498" s="46"/>
      <c r="Z498" s="46"/>
      <c r="AD498" s="46"/>
    </row>
    <row r="499" spans="1:30">
      <c r="A499">
        <v>2912</v>
      </c>
      <c r="B499" t="s">
        <v>1045</v>
      </c>
      <c r="C499">
        <v>211.5</v>
      </c>
      <c r="Y499" s="46"/>
      <c r="Z499" s="46"/>
      <c r="AD499" s="46"/>
    </row>
    <row r="500" spans="1:30">
      <c r="A500">
        <v>2913</v>
      </c>
      <c r="B500" t="s">
        <v>1046</v>
      </c>
      <c r="C500">
        <v>13.75</v>
      </c>
      <c r="Y500" s="46"/>
      <c r="Z500" s="46"/>
      <c r="AD500" s="46"/>
    </row>
    <row r="501" spans="1:30">
      <c r="A501">
        <v>2915</v>
      </c>
      <c r="B501" t="s">
        <v>1047</v>
      </c>
      <c r="C501">
        <v>57</v>
      </c>
      <c r="Y501" s="46"/>
      <c r="Z501" s="46"/>
      <c r="AD501" s="46"/>
    </row>
    <row r="502" spans="1:30">
      <c r="A502">
        <v>2923</v>
      </c>
      <c r="B502" t="s">
        <v>1048</v>
      </c>
      <c r="C502">
        <v>23.7</v>
      </c>
      <c r="Y502" s="46"/>
      <c r="Z502" s="46"/>
      <c r="AD502" s="46"/>
    </row>
    <row r="503" spans="1:30">
      <c r="A503">
        <v>2929</v>
      </c>
      <c r="B503" t="s">
        <v>1049</v>
      </c>
      <c r="C503">
        <v>157</v>
      </c>
      <c r="Y503" s="46"/>
      <c r="Z503" s="46"/>
      <c r="AD503" s="46"/>
    </row>
    <row r="504" spans="1:30">
      <c r="A504">
        <v>3002</v>
      </c>
      <c r="B504" t="s">
        <v>1050</v>
      </c>
      <c r="C504">
        <v>10.8</v>
      </c>
      <c r="Y504" s="46"/>
      <c r="Z504" s="46"/>
      <c r="AD504" s="46"/>
    </row>
    <row r="505" spans="1:30">
      <c r="A505">
        <v>3003</v>
      </c>
      <c r="B505" t="s">
        <v>1051</v>
      </c>
      <c r="C505">
        <v>38.799999999999997</v>
      </c>
      <c r="Y505" s="46"/>
      <c r="Z505" s="46"/>
      <c r="AD505" s="46"/>
    </row>
    <row r="506" spans="1:30">
      <c r="A506">
        <v>3004</v>
      </c>
      <c r="B506" t="s">
        <v>1052</v>
      </c>
      <c r="C506">
        <v>55.4</v>
      </c>
      <c r="Y506" s="46"/>
      <c r="Z506" s="46"/>
      <c r="AD506" s="46"/>
    </row>
    <row r="507" spans="1:30">
      <c r="A507">
        <v>3005</v>
      </c>
      <c r="B507" t="s">
        <v>1053</v>
      </c>
      <c r="C507">
        <v>21.65</v>
      </c>
      <c r="Y507" s="46"/>
      <c r="Z507" s="46"/>
      <c r="AD507" s="46"/>
    </row>
    <row r="508" spans="1:30">
      <c r="A508">
        <v>3006</v>
      </c>
      <c r="B508" t="s">
        <v>1054</v>
      </c>
      <c r="C508">
        <v>29.9</v>
      </c>
      <c r="Y508" s="46"/>
      <c r="Z508" s="46"/>
      <c r="AD508" s="46"/>
    </row>
    <row r="509" spans="1:30">
      <c r="A509">
        <v>3008</v>
      </c>
      <c r="B509" t="s">
        <v>1055</v>
      </c>
      <c r="C509">
        <v>2490</v>
      </c>
      <c r="Y509" s="46"/>
      <c r="Z509" s="46"/>
      <c r="AD509" s="46"/>
    </row>
    <row r="510" spans="1:30">
      <c r="A510">
        <v>3010</v>
      </c>
      <c r="B510" t="s">
        <v>1056</v>
      </c>
      <c r="C510">
        <v>44.2</v>
      </c>
      <c r="Y510" s="46"/>
      <c r="Z510" s="46"/>
      <c r="AD510" s="46"/>
    </row>
    <row r="511" spans="1:30">
      <c r="A511">
        <v>3011</v>
      </c>
      <c r="B511" t="s">
        <v>1057</v>
      </c>
      <c r="C511">
        <v>6.52</v>
      </c>
      <c r="Y511" s="46"/>
      <c r="Z511" s="46"/>
      <c r="AD511" s="46"/>
    </row>
    <row r="512" spans="1:30">
      <c r="A512">
        <v>3013</v>
      </c>
      <c r="B512" t="s">
        <v>1058</v>
      </c>
      <c r="C512">
        <v>17.899999999999999</v>
      </c>
      <c r="Y512" s="46"/>
      <c r="Z512" s="46"/>
      <c r="AA512" s="46"/>
      <c r="AD512" s="46"/>
    </row>
    <row r="513" spans="1:30">
      <c r="A513">
        <v>3014</v>
      </c>
      <c r="B513" t="s">
        <v>1059</v>
      </c>
      <c r="C513">
        <v>28.3</v>
      </c>
      <c r="Y513" s="46"/>
      <c r="Z513" s="46"/>
      <c r="AA513" s="46"/>
      <c r="AD513" s="46"/>
    </row>
    <row r="514" spans="1:30">
      <c r="A514">
        <v>3015</v>
      </c>
      <c r="B514" t="s">
        <v>1863</v>
      </c>
      <c r="C514">
        <v>19.95</v>
      </c>
      <c r="Y514" s="46"/>
      <c r="Z514" s="46"/>
      <c r="AA514" s="46"/>
      <c r="AD514" s="46"/>
    </row>
    <row r="515" spans="1:30">
      <c r="A515">
        <v>3016</v>
      </c>
      <c r="B515" t="s">
        <v>1060</v>
      </c>
      <c r="C515">
        <v>14.4</v>
      </c>
      <c r="Y515" s="46"/>
      <c r="Z515" s="46"/>
      <c r="AA515" s="46"/>
      <c r="AD515" s="46"/>
    </row>
    <row r="516" spans="1:30">
      <c r="A516">
        <v>3017</v>
      </c>
      <c r="B516" t="s">
        <v>1061</v>
      </c>
      <c r="C516">
        <v>26.5</v>
      </c>
      <c r="Y516" s="46"/>
      <c r="Z516" s="46"/>
      <c r="AA516" s="46"/>
      <c r="AD516" s="46"/>
    </row>
    <row r="517" spans="1:30">
      <c r="A517">
        <v>3018</v>
      </c>
      <c r="B517" t="s">
        <v>1062</v>
      </c>
      <c r="C517">
        <v>17.850000000000001</v>
      </c>
      <c r="Y517" s="46"/>
      <c r="Z517" s="46"/>
      <c r="AD517" s="46"/>
    </row>
    <row r="518" spans="1:30">
      <c r="A518">
        <v>3019</v>
      </c>
      <c r="B518" t="s">
        <v>1063</v>
      </c>
      <c r="C518">
        <v>31</v>
      </c>
      <c r="Y518" s="46"/>
      <c r="Z518" s="46"/>
      <c r="AD518" s="46"/>
    </row>
    <row r="519" spans="1:30">
      <c r="A519">
        <v>3021</v>
      </c>
      <c r="B519" t="s">
        <v>1064</v>
      </c>
      <c r="C519">
        <v>11.9</v>
      </c>
      <c r="Y519" s="46"/>
      <c r="Z519" s="46"/>
      <c r="AD519" s="46"/>
    </row>
    <row r="520" spans="1:30">
      <c r="A520">
        <v>3022</v>
      </c>
      <c r="B520" t="s">
        <v>1065</v>
      </c>
      <c r="C520">
        <v>39.700000000000003</v>
      </c>
      <c r="Y520" s="46"/>
      <c r="Z520" s="46"/>
      <c r="AD520" s="46"/>
    </row>
    <row r="521" spans="1:30">
      <c r="A521">
        <v>3023</v>
      </c>
      <c r="B521" t="s">
        <v>1066</v>
      </c>
      <c r="C521">
        <v>60.2</v>
      </c>
      <c r="Y521" s="46"/>
      <c r="Z521" s="46"/>
      <c r="AD521" s="46"/>
    </row>
    <row r="522" spans="1:30">
      <c r="A522">
        <v>3024</v>
      </c>
      <c r="B522" t="s">
        <v>1067</v>
      </c>
      <c r="C522">
        <v>4.38</v>
      </c>
      <c r="Y522" s="46"/>
      <c r="Z522" s="46"/>
      <c r="AD522" s="46"/>
    </row>
    <row r="523" spans="1:30">
      <c r="A523">
        <v>3025</v>
      </c>
      <c r="B523" t="s">
        <v>1068</v>
      </c>
      <c r="C523">
        <v>8.33</v>
      </c>
      <c r="Y523" s="46"/>
      <c r="Z523" s="46"/>
      <c r="AD523" s="46"/>
    </row>
    <row r="524" spans="1:30">
      <c r="A524">
        <v>3026</v>
      </c>
      <c r="B524" t="s">
        <v>1069</v>
      </c>
      <c r="C524">
        <v>32.9</v>
      </c>
      <c r="Y524" s="46"/>
      <c r="Z524" s="46"/>
      <c r="AD524" s="46"/>
    </row>
    <row r="525" spans="1:30">
      <c r="A525">
        <v>3027</v>
      </c>
      <c r="B525" t="s">
        <v>1070</v>
      </c>
      <c r="C525">
        <v>13.8</v>
      </c>
      <c r="Y525" s="46"/>
      <c r="Z525" s="46"/>
      <c r="AA525" s="46"/>
      <c r="AD525" s="46"/>
    </row>
    <row r="526" spans="1:30">
      <c r="A526">
        <v>3028</v>
      </c>
      <c r="B526" t="s">
        <v>1071</v>
      </c>
      <c r="C526">
        <v>16</v>
      </c>
      <c r="Y526" s="46"/>
      <c r="Z526" s="46"/>
      <c r="AA526" s="46"/>
      <c r="AD526" s="46"/>
    </row>
    <row r="527" spans="1:30">
      <c r="A527">
        <v>3029</v>
      </c>
      <c r="B527" t="s">
        <v>1072</v>
      </c>
      <c r="C527">
        <v>19.5</v>
      </c>
      <c r="Y527" s="46"/>
      <c r="Z527" s="46"/>
      <c r="AD527" s="46"/>
    </row>
    <row r="528" spans="1:30">
      <c r="A528">
        <v>3030</v>
      </c>
      <c r="B528" t="s">
        <v>1073</v>
      </c>
      <c r="C528">
        <v>54</v>
      </c>
      <c r="Y528" s="46"/>
      <c r="Z528" s="46"/>
      <c r="AD528" s="46"/>
    </row>
    <row r="529" spans="1:30">
      <c r="A529">
        <v>3031</v>
      </c>
      <c r="B529" t="s">
        <v>1074</v>
      </c>
      <c r="C529">
        <v>9.9600000000000009</v>
      </c>
      <c r="Y529" s="46"/>
      <c r="Z529" s="46"/>
      <c r="AD529" s="46"/>
    </row>
    <row r="530" spans="1:30">
      <c r="A530">
        <v>3032</v>
      </c>
      <c r="B530" t="s">
        <v>1075</v>
      </c>
      <c r="C530">
        <v>20.95</v>
      </c>
      <c r="Y530" s="46"/>
      <c r="Z530" s="46"/>
      <c r="AA530" s="46"/>
      <c r="AD530" s="46"/>
    </row>
    <row r="531" spans="1:30">
      <c r="A531">
        <v>3033</v>
      </c>
      <c r="B531" t="s">
        <v>1076</v>
      </c>
      <c r="C531">
        <v>19.7</v>
      </c>
      <c r="Y531" s="46"/>
      <c r="Z531" s="46"/>
      <c r="AD531" s="46"/>
    </row>
    <row r="532" spans="1:30">
      <c r="A532">
        <v>3034</v>
      </c>
      <c r="B532" t="s">
        <v>1077</v>
      </c>
      <c r="C532">
        <v>115.5</v>
      </c>
      <c r="Y532" s="46"/>
      <c r="Z532" s="46"/>
      <c r="AD532" s="46"/>
    </row>
    <row r="533" spans="1:30">
      <c r="A533">
        <v>3035</v>
      </c>
      <c r="B533" t="s">
        <v>1078</v>
      </c>
      <c r="C533">
        <v>46.5</v>
      </c>
      <c r="Y533" s="46"/>
      <c r="Z533" s="46"/>
      <c r="AA533" s="46"/>
      <c r="AD533" s="46"/>
    </row>
    <row r="534" spans="1:30">
      <c r="A534">
        <v>3036</v>
      </c>
      <c r="B534" t="s">
        <v>1079</v>
      </c>
      <c r="C534">
        <v>34.799999999999997</v>
      </c>
      <c r="Y534" s="46"/>
      <c r="Z534" s="46"/>
      <c r="AD534" s="46"/>
    </row>
    <row r="535" spans="1:30">
      <c r="A535">
        <v>3037</v>
      </c>
      <c r="B535" t="s">
        <v>1080</v>
      </c>
      <c r="C535">
        <v>14.4</v>
      </c>
      <c r="Y535" s="46"/>
      <c r="Z535" s="46"/>
      <c r="AD535" s="46"/>
    </row>
    <row r="536" spans="1:30">
      <c r="A536">
        <v>3038</v>
      </c>
      <c r="B536" t="s">
        <v>1081</v>
      </c>
      <c r="C536">
        <v>9.35</v>
      </c>
      <c r="Y536" s="46"/>
      <c r="Z536" s="46"/>
      <c r="AA536" s="46"/>
      <c r="AD536" s="46"/>
    </row>
    <row r="537" spans="1:30">
      <c r="A537">
        <v>3040</v>
      </c>
      <c r="B537" t="s">
        <v>1082</v>
      </c>
      <c r="C537">
        <v>35.200000000000003</v>
      </c>
      <c r="Y537" s="46"/>
      <c r="Z537" s="46"/>
      <c r="AA537" s="46"/>
      <c r="AD537" s="46"/>
    </row>
    <row r="538" spans="1:30">
      <c r="A538">
        <v>3041</v>
      </c>
      <c r="B538" t="s">
        <v>1083</v>
      </c>
      <c r="C538">
        <v>16.100000000000001</v>
      </c>
      <c r="Y538" s="46"/>
      <c r="Z538" s="46"/>
      <c r="AD538" s="46"/>
    </row>
    <row r="539" spans="1:30">
      <c r="A539">
        <v>3042</v>
      </c>
      <c r="B539" t="s">
        <v>1084</v>
      </c>
      <c r="C539">
        <v>35.25</v>
      </c>
      <c r="Y539" s="46"/>
      <c r="Z539" s="46"/>
      <c r="AD539" s="46"/>
    </row>
    <row r="540" spans="1:30">
      <c r="A540">
        <v>3043</v>
      </c>
      <c r="B540" t="s">
        <v>1085</v>
      </c>
      <c r="C540">
        <v>3</v>
      </c>
      <c r="Y540" s="46"/>
      <c r="Z540" s="46"/>
      <c r="AD540" s="46"/>
    </row>
    <row r="541" spans="1:30">
      <c r="A541">
        <v>3044</v>
      </c>
      <c r="B541" t="s">
        <v>1086</v>
      </c>
      <c r="C541">
        <v>54.6</v>
      </c>
      <c r="Y541" s="46"/>
      <c r="Z541" s="46"/>
      <c r="AD541" s="46"/>
    </row>
    <row r="542" spans="1:30">
      <c r="A542">
        <v>3045</v>
      </c>
      <c r="B542" t="s">
        <v>1087</v>
      </c>
      <c r="C542">
        <v>100.5</v>
      </c>
      <c r="Y542" s="46"/>
      <c r="Z542" s="46"/>
      <c r="AD542" s="46"/>
    </row>
    <row r="543" spans="1:30">
      <c r="A543">
        <v>3046</v>
      </c>
      <c r="B543" t="s">
        <v>1088</v>
      </c>
      <c r="C543">
        <v>10.35</v>
      </c>
      <c r="Y543" s="46"/>
      <c r="Z543" s="46"/>
      <c r="AD543" s="46"/>
    </row>
    <row r="544" spans="1:30">
      <c r="A544">
        <v>3047</v>
      </c>
      <c r="B544" t="s">
        <v>1089</v>
      </c>
      <c r="C544">
        <v>10.65</v>
      </c>
      <c r="Y544" s="46"/>
      <c r="Z544" s="46"/>
      <c r="AD544" s="46"/>
    </row>
    <row r="545" spans="1:30">
      <c r="A545">
        <v>3048</v>
      </c>
      <c r="B545" t="s">
        <v>1090</v>
      </c>
      <c r="C545">
        <v>19.75</v>
      </c>
      <c r="Y545" s="46"/>
      <c r="Z545" s="46"/>
      <c r="AA545" s="46"/>
      <c r="AD545" s="46"/>
    </row>
    <row r="546" spans="1:30">
      <c r="A546">
        <v>3049</v>
      </c>
      <c r="B546" t="s">
        <v>1091</v>
      </c>
      <c r="C546">
        <v>5.74</v>
      </c>
      <c r="Y546" s="46"/>
      <c r="Z546" s="46"/>
      <c r="AA546" s="46"/>
      <c r="AD546" s="46"/>
    </row>
    <row r="547" spans="1:30">
      <c r="A547">
        <v>3050</v>
      </c>
      <c r="B547" t="s">
        <v>1092</v>
      </c>
      <c r="C547">
        <v>8.19</v>
      </c>
      <c r="Y547" s="46"/>
      <c r="Z547" s="46"/>
      <c r="AD547" s="46"/>
    </row>
    <row r="548" spans="1:30">
      <c r="A548">
        <v>3051</v>
      </c>
      <c r="B548" t="s">
        <v>1093</v>
      </c>
      <c r="C548">
        <v>7.48</v>
      </c>
      <c r="Y548" s="46"/>
      <c r="Z548" s="46"/>
      <c r="AD548" s="46"/>
    </row>
    <row r="549" spans="1:30">
      <c r="A549">
        <v>3052</v>
      </c>
      <c r="B549" t="s">
        <v>1094</v>
      </c>
      <c r="C549">
        <v>9.41</v>
      </c>
      <c r="Y549" s="46"/>
      <c r="Z549" s="46"/>
      <c r="AA549" s="46"/>
      <c r="AD549" s="46"/>
    </row>
    <row r="550" spans="1:30">
      <c r="A550">
        <v>3054</v>
      </c>
      <c r="B550" t="s">
        <v>1095</v>
      </c>
      <c r="C550">
        <v>17.95</v>
      </c>
      <c r="Y550" s="46"/>
      <c r="Z550" s="46"/>
      <c r="AA550" s="46"/>
      <c r="AD550" s="46"/>
    </row>
    <row r="551" spans="1:30">
      <c r="A551">
        <v>3055</v>
      </c>
      <c r="B551" t="s">
        <v>1096</v>
      </c>
      <c r="C551">
        <v>16.45</v>
      </c>
      <c r="Y551" s="46"/>
      <c r="Z551" s="46"/>
      <c r="AA551" s="46"/>
      <c r="AD551" s="46"/>
    </row>
    <row r="552" spans="1:30">
      <c r="A552">
        <v>3056</v>
      </c>
      <c r="B552" t="s">
        <v>1097</v>
      </c>
      <c r="C552">
        <v>13.2</v>
      </c>
      <c r="Y552" s="46"/>
      <c r="Z552" s="46"/>
      <c r="AD552" s="46"/>
    </row>
    <row r="553" spans="1:30">
      <c r="A553">
        <v>3057</v>
      </c>
      <c r="B553" t="s">
        <v>1098</v>
      </c>
      <c r="C553">
        <v>17.8</v>
      </c>
      <c r="Y553" s="46"/>
      <c r="Z553" s="46"/>
      <c r="AD553" s="46"/>
    </row>
    <row r="554" spans="1:30">
      <c r="A554">
        <v>3058</v>
      </c>
      <c r="B554" t="s">
        <v>1099</v>
      </c>
      <c r="C554">
        <v>9.2200000000000006</v>
      </c>
      <c r="Y554" s="46"/>
      <c r="Z554" s="46"/>
      <c r="AD554" s="46"/>
    </row>
    <row r="555" spans="1:30">
      <c r="A555">
        <v>3059</v>
      </c>
      <c r="B555" t="s">
        <v>1100</v>
      </c>
      <c r="C555">
        <v>27.2</v>
      </c>
      <c r="Y555" s="46"/>
      <c r="Z555" s="46"/>
      <c r="AD555" s="46"/>
    </row>
    <row r="556" spans="1:30">
      <c r="A556">
        <v>3060</v>
      </c>
      <c r="B556" t="s">
        <v>1101</v>
      </c>
      <c r="C556">
        <v>58.2</v>
      </c>
      <c r="Y556" s="46"/>
      <c r="Z556" s="46"/>
      <c r="AD556" s="46"/>
    </row>
    <row r="557" spans="1:30">
      <c r="A557">
        <v>3062</v>
      </c>
      <c r="B557" t="s">
        <v>1102</v>
      </c>
      <c r="C557">
        <v>16.149999999999999</v>
      </c>
      <c r="Y557" s="46"/>
      <c r="Z557" s="46"/>
      <c r="AD557" s="46"/>
    </row>
    <row r="558" spans="1:30">
      <c r="A558">
        <v>3090</v>
      </c>
      <c r="B558" t="s">
        <v>1103</v>
      </c>
      <c r="C558">
        <v>23.35</v>
      </c>
      <c r="Y558" s="46"/>
      <c r="Z558" s="46"/>
      <c r="AD558" s="46"/>
    </row>
    <row r="559" spans="1:30">
      <c r="A559">
        <v>3094</v>
      </c>
      <c r="B559" t="s">
        <v>1104</v>
      </c>
      <c r="C559">
        <v>27.8</v>
      </c>
      <c r="Y559" s="46"/>
      <c r="Z559" s="46"/>
      <c r="AD559" s="46"/>
    </row>
    <row r="560" spans="1:30">
      <c r="A560">
        <v>3130</v>
      </c>
      <c r="B560" t="s">
        <v>1105</v>
      </c>
      <c r="C560">
        <v>143</v>
      </c>
      <c r="Y560" s="46"/>
      <c r="Z560" s="46"/>
      <c r="AD560" s="46"/>
    </row>
    <row r="561" spans="1:30">
      <c r="A561">
        <v>3149</v>
      </c>
      <c r="B561" t="s">
        <v>1106</v>
      </c>
      <c r="C561">
        <v>13.5</v>
      </c>
      <c r="Y561" s="46"/>
      <c r="Z561" s="46"/>
      <c r="AA561" s="46"/>
      <c r="AD561" s="46"/>
    </row>
    <row r="562" spans="1:30">
      <c r="A562">
        <v>3164</v>
      </c>
      <c r="B562" t="s">
        <v>1107</v>
      </c>
      <c r="C562">
        <v>30.55</v>
      </c>
      <c r="Y562" s="46"/>
      <c r="Z562" s="46"/>
      <c r="AA562" s="46"/>
      <c r="AD562" s="46"/>
    </row>
    <row r="563" spans="1:30">
      <c r="A563">
        <v>3167</v>
      </c>
      <c r="B563" t="s">
        <v>1108</v>
      </c>
      <c r="C563">
        <v>26.1</v>
      </c>
      <c r="Y563" s="46"/>
      <c r="Z563" s="46"/>
      <c r="AD563" s="46"/>
    </row>
    <row r="564" spans="1:30">
      <c r="A564">
        <v>3189</v>
      </c>
      <c r="B564" t="s">
        <v>1109</v>
      </c>
      <c r="C564">
        <v>64.5</v>
      </c>
      <c r="Y564" s="46"/>
      <c r="Z564" s="46"/>
      <c r="AA564" s="46"/>
      <c r="AD564" s="46"/>
    </row>
    <row r="565" spans="1:30">
      <c r="A565">
        <v>3209</v>
      </c>
      <c r="B565" t="s">
        <v>1110</v>
      </c>
      <c r="C565">
        <v>25</v>
      </c>
      <c r="Y565" s="46"/>
      <c r="Z565" s="46"/>
      <c r="AD565" s="46"/>
    </row>
    <row r="566" spans="1:30">
      <c r="A566">
        <v>3229</v>
      </c>
      <c r="B566" t="s">
        <v>1111</v>
      </c>
      <c r="C566">
        <v>18.8</v>
      </c>
      <c r="Y566" s="46"/>
      <c r="Z566" s="46"/>
      <c r="AD566" s="46"/>
    </row>
    <row r="567" spans="1:30">
      <c r="A567">
        <v>3231</v>
      </c>
      <c r="B567" t="s">
        <v>1112</v>
      </c>
      <c r="C567">
        <v>15.55</v>
      </c>
      <c r="Y567" s="46"/>
      <c r="Z567" s="46"/>
      <c r="AD567" s="46"/>
    </row>
    <row r="568" spans="1:30">
      <c r="A568">
        <v>3257</v>
      </c>
      <c r="B568" t="s">
        <v>1113</v>
      </c>
      <c r="C568">
        <v>40.049999999999997</v>
      </c>
      <c r="Y568" s="46"/>
      <c r="Z568" s="46"/>
      <c r="AD568" s="46"/>
    </row>
    <row r="569" spans="1:30">
      <c r="A569">
        <v>3266</v>
      </c>
      <c r="B569" t="s">
        <v>1114</v>
      </c>
      <c r="C569">
        <v>13</v>
      </c>
      <c r="Y569" s="46"/>
      <c r="Z569" s="46"/>
      <c r="AD569" s="46"/>
    </row>
    <row r="570" spans="1:30">
      <c r="A570">
        <v>3296</v>
      </c>
      <c r="B570" t="s">
        <v>1115</v>
      </c>
      <c r="C570">
        <v>14.9</v>
      </c>
      <c r="Y570" s="46"/>
      <c r="Z570" s="46"/>
      <c r="AD570" s="46"/>
    </row>
    <row r="571" spans="1:30">
      <c r="A571">
        <v>3305</v>
      </c>
      <c r="B571" t="s">
        <v>1116</v>
      </c>
      <c r="C571">
        <v>23.6</v>
      </c>
      <c r="Y571" s="46"/>
      <c r="Z571" s="46"/>
      <c r="AD571" s="46"/>
    </row>
    <row r="572" spans="1:30">
      <c r="A572">
        <v>3308</v>
      </c>
      <c r="B572" t="s">
        <v>1117</v>
      </c>
      <c r="C572">
        <v>7.7</v>
      </c>
      <c r="Y572" s="46"/>
      <c r="Z572" s="46"/>
      <c r="AD572" s="46"/>
    </row>
    <row r="573" spans="1:30">
      <c r="A573">
        <v>3311</v>
      </c>
      <c r="B573" t="s">
        <v>1118</v>
      </c>
      <c r="C573">
        <v>17.350000000000001</v>
      </c>
      <c r="Y573" s="46"/>
      <c r="Z573" s="46"/>
      <c r="AA573" s="46"/>
      <c r="AD573" s="46"/>
    </row>
    <row r="574" spans="1:30">
      <c r="A574">
        <v>3312</v>
      </c>
      <c r="B574" t="s">
        <v>1119</v>
      </c>
      <c r="C574">
        <v>7.08</v>
      </c>
      <c r="Y574" s="46"/>
      <c r="Z574" s="46"/>
      <c r="AA574" s="46"/>
      <c r="AD574" s="46"/>
    </row>
    <row r="575" spans="1:30">
      <c r="A575">
        <v>3315</v>
      </c>
      <c r="B575" t="s">
        <v>1120</v>
      </c>
      <c r="C575">
        <v>16.25</v>
      </c>
      <c r="Y575" s="46"/>
      <c r="Z575" s="46"/>
      <c r="AD575" s="46"/>
    </row>
    <row r="576" spans="1:30">
      <c r="A576">
        <v>3338</v>
      </c>
      <c r="B576" t="s">
        <v>1121</v>
      </c>
      <c r="C576">
        <v>23.1</v>
      </c>
      <c r="Y576" s="46"/>
      <c r="Z576" s="46"/>
      <c r="AD576" s="46"/>
    </row>
    <row r="577" spans="1:30">
      <c r="A577">
        <v>3356</v>
      </c>
      <c r="B577" t="s">
        <v>1122</v>
      </c>
      <c r="C577">
        <v>77.5</v>
      </c>
      <c r="Y577" s="46"/>
      <c r="Z577" s="46"/>
      <c r="AD577" s="46"/>
    </row>
    <row r="578" spans="1:30">
      <c r="A578">
        <v>3376</v>
      </c>
      <c r="B578" t="s">
        <v>1123</v>
      </c>
      <c r="C578">
        <v>105</v>
      </c>
      <c r="Y578" s="46"/>
      <c r="Z578" s="46"/>
      <c r="AD578" s="46"/>
    </row>
    <row r="579" spans="1:30">
      <c r="A579">
        <v>3380</v>
      </c>
      <c r="B579" t="s">
        <v>1124</v>
      </c>
      <c r="C579">
        <v>16.600000000000001</v>
      </c>
      <c r="Y579" s="46"/>
      <c r="Z579" s="46"/>
      <c r="AA579" s="46"/>
      <c r="AD579" s="46"/>
    </row>
    <row r="580" spans="1:30">
      <c r="A580">
        <v>3383</v>
      </c>
      <c r="B580" t="s">
        <v>1125</v>
      </c>
      <c r="C580">
        <v>8.35</v>
      </c>
      <c r="Y580" s="46"/>
      <c r="Z580" s="46"/>
      <c r="AA580" s="46"/>
      <c r="AD580" s="46"/>
    </row>
    <row r="581" spans="1:30">
      <c r="A581">
        <v>3406</v>
      </c>
      <c r="B581" t="s">
        <v>1126</v>
      </c>
      <c r="C581">
        <v>66.7</v>
      </c>
      <c r="Y581" s="46"/>
      <c r="Z581" s="46"/>
      <c r="AA581" s="46"/>
      <c r="AD581" s="46"/>
    </row>
    <row r="582" spans="1:30">
      <c r="A582">
        <v>3413</v>
      </c>
      <c r="B582" t="s">
        <v>1127</v>
      </c>
      <c r="C582">
        <v>76</v>
      </c>
      <c r="Y582" s="46"/>
      <c r="Z582" s="46"/>
      <c r="AD582" s="46"/>
    </row>
    <row r="583" spans="1:30">
      <c r="A583">
        <v>3416</v>
      </c>
      <c r="B583" t="s">
        <v>1128</v>
      </c>
      <c r="C583">
        <v>53</v>
      </c>
      <c r="Y583" s="46"/>
      <c r="Z583" s="46"/>
      <c r="AD583" s="46"/>
    </row>
    <row r="584" spans="1:30">
      <c r="A584">
        <v>3419</v>
      </c>
      <c r="B584" t="s">
        <v>1129</v>
      </c>
      <c r="C584">
        <v>14.05</v>
      </c>
      <c r="Y584" s="46"/>
      <c r="Z584" s="46"/>
      <c r="AD584" s="46"/>
    </row>
    <row r="585" spans="1:30">
      <c r="A585">
        <v>3432</v>
      </c>
      <c r="B585" t="s">
        <v>1130</v>
      </c>
      <c r="C585">
        <v>13.05</v>
      </c>
      <c r="Y585" s="46"/>
      <c r="Z585" s="46"/>
      <c r="AD585" s="46"/>
    </row>
    <row r="586" spans="1:30">
      <c r="A586">
        <v>3437</v>
      </c>
      <c r="B586" t="s">
        <v>1131</v>
      </c>
      <c r="C586">
        <v>24.55</v>
      </c>
      <c r="Y586" s="46"/>
      <c r="Z586" s="46"/>
      <c r="AD586" s="46"/>
    </row>
    <row r="587" spans="1:30">
      <c r="A587">
        <v>3443</v>
      </c>
      <c r="B587" t="s">
        <v>1132</v>
      </c>
      <c r="C587">
        <v>66.8</v>
      </c>
      <c r="Y587" s="46"/>
      <c r="Z587" s="46"/>
      <c r="AD587" s="46"/>
    </row>
    <row r="588" spans="1:30">
      <c r="A588">
        <v>3450</v>
      </c>
      <c r="B588" t="s">
        <v>1133</v>
      </c>
      <c r="C588">
        <v>144</v>
      </c>
      <c r="Y588" s="46"/>
      <c r="Z588" s="46"/>
      <c r="AD588" s="46"/>
    </row>
    <row r="589" spans="1:30">
      <c r="A589">
        <v>3454</v>
      </c>
      <c r="B589" t="s">
        <v>1134</v>
      </c>
      <c r="C589">
        <v>78.599999999999994</v>
      </c>
      <c r="Y589" s="46"/>
      <c r="Z589" s="46"/>
      <c r="AD589" s="46"/>
    </row>
    <row r="590" spans="1:30">
      <c r="A590">
        <v>3474</v>
      </c>
      <c r="B590" t="s">
        <v>1135</v>
      </c>
      <c r="C590">
        <v>24.6</v>
      </c>
      <c r="Y590" s="46"/>
      <c r="Z590" s="46"/>
      <c r="AD590" s="46"/>
    </row>
    <row r="591" spans="1:30">
      <c r="A591">
        <v>3481</v>
      </c>
      <c r="B591" t="s">
        <v>1136</v>
      </c>
      <c r="C591">
        <v>10.15</v>
      </c>
      <c r="M591" s="46"/>
      <c r="O591" s="46"/>
      <c r="Y591" s="46"/>
      <c r="Z591" s="46"/>
      <c r="AD591" s="46"/>
    </row>
    <row r="592" spans="1:30">
      <c r="A592">
        <v>3494</v>
      </c>
      <c r="B592" t="s">
        <v>1137</v>
      </c>
      <c r="C592">
        <v>13.45</v>
      </c>
      <c r="Y592" s="46"/>
      <c r="Z592" s="46"/>
      <c r="AD592" s="46"/>
    </row>
    <row r="593" spans="1:30">
      <c r="A593">
        <v>3501</v>
      </c>
      <c r="B593" t="s">
        <v>1138</v>
      </c>
      <c r="C593">
        <v>48.8</v>
      </c>
      <c r="Y593" s="46"/>
      <c r="Z593" s="46"/>
      <c r="AD593" s="46"/>
    </row>
    <row r="594" spans="1:30">
      <c r="A594">
        <v>3504</v>
      </c>
      <c r="B594" t="s">
        <v>1139</v>
      </c>
      <c r="C594">
        <v>38.5</v>
      </c>
      <c r="Y594" s="46"/>
      <c r="Z594" s="46"/>
      <c r="AD594" s="46"/>
    </row>
    <row r="595" spans="1:30">
      <c r="A595">
        <v>3514</v>
      </c>
      <c r="B595" t="s">
        <v>1140</v>
      </c>
      <c r="C595">
        <v>23.5</v>
      </c>
      <c r="Y595" s="46"/>
      <c r="Z595" s="46"/>
      <c r="AA595" s="46"/>
      <c r="AD595" s="46"/>
    </row>
    <row r="596" spans="1:30">
      <c r="A596">
        <v>3515</v>
      </c>
      <c r="B596" t="s">
        <v>1141</v>
      </c>
      <c r="C596">
        <v>49.65</v>
      </c>
      <c r="Y596" s="46"/>
      <c r="Z596" s="46"/>
      <c r="AD596" s="46"/>
    </row>
    <row r="597" spans="1:30">
      <c r="A597">
        <v>3518</v>
      </c>
      <c r="B597" t="s">
        <v>1142</v>
      </c>
      <c r="C597">
        <v>36</v>
      </c>
      <c r="Y597" s="46"/>
      <c r="Z597" s="46"/>
      <c r="AA597" s="46"/>
      <c r="AD597" s="46"/>
    </row>
    <row r="598" spans="1:30">
      <c r="A598">
        <v>3519</v>
      </c>
      <c r="B598" t="s">
        <v>1143</v>
      </c>
      <c r="C598">
        <v>14.7</v>
      </c>
      <c r="Y598" s="46"/>
      <c r="Z598" s="46"/>
      <c r="AA598" s="46"/>
      <c r="AD598" s="46"/>
    </row>
    <row r="599" spans="1:30">
      <c r="A599">
        <v>3532</v>
      </c>
      <c r="B599" t="s">
        <v>1144</v>
      </c>
      <c r="C599">
        <v>36.6</v>
      </c>
      <c r="Y599" s="46"/>
      <c r="Z599" s="46"/>
      <c r="AD599" s="46"/>
    </row>
    <row r="600" spans="1:30">
      <c r="A600">
        <v>3533</v>
      </c>
      <c r="B600" t="s">
        <v>1145</v>
      </c>
      <c r="C600">
        <v>105.5</v>
      </c>
      <c r="Y600" s="46"/>
      <c r="Z600" s="46"/>
      <c r="AA600" s="46"/>
      <c r="AD600" s="46"/>
    </row>
    <row r="601" spans="1:30">
      <c r="A601">
        <v>3535</v>
      </c>
      <c r="B601" t="s">
        <v>1146</v>
      </c>
      <c r="C601">
        <v>10.050000000000001</v>
      </c>
      <c r="Y601" s="46"/>
      <c r="Z601" s="46"/>
      <c r="AD601" s="46"/>
    </row>
    <row r="602" spans="1:30">
      <c r="A602">
        <v>3536</v>
      </c>
      <c r="B602" t="s">
        <v>1147</v>
      </c>
      <c r="C602">
        <v>6.74</v>
      </c>
      <c r="Y602" s="46"/>
      <c r="Z602" s="46"/>
      <c r="AD602" s="46"/>
    </row>
    <row r="603" spans="1:30">
      <c r="A603">
        <v>3545</v>
      </c>
      <c r="B603" t="s">
        <v>1148</v>
      </c>
      <c r="C603">
        <v>27.4</v>
      </c>
      <c r="Y603" s="46"/>
      <c r="Z603" s="46"/>
      <c r="AD603" s="46"/>
    </row>
    <row r="604" spans="1:30">
      <c r="A604">
        <v>3550</v>
      </c>
      <c r="B604" t="s">
        <v>1149</v>
      </c>
      <c r="C604">
        <v>12.05</v>
      </c>
      <c r="Y604" s="46"/>
      <c r="Z604" s="46"/>
      <c r="AD604" s="46"/>
    </row>
    <row r="605" spans="1:30">
      <c r="A605">
        <v>3557</v>
      </c>
      <c r="B605" t="s">
        <v>1150</v>
      </c>
      <c r="C605">
        <v>4.28</v>
      </c>
      <c r="Y605" s="46"/>
      <c r="Z605" s="46"/>
      <c r="AD605" s="46"/>
    </row>
    <row r="606" spans="1:30">
      <c r="A606">
        <v>3559</v>
      </c>
      <c r="B606" t="s">
        <v>1151</v>
      </c>
      <c r="C606">
        <v>21.2</v>
      </c>
      <c r="Y606" s="46"/>
      <c r="Z606" s="46"/>
      <c r="AD606" s="46"/>
    </row>
    <row r="607" spans="1:30">
      <c r="A607">
        <v>3561</v>
      </c>
      <c r="B607" t="s">
        <v>1152</v>
      </c>
      <c r="C607">
        <v>17.55</v>
      </c>
      <c r="Y607" s="46"/>
      <c r="Z607" s="46"/>
      <c r="AA607" s="46"/>
      <c r="AD607" s="46"/>
    </row>
    <row r="608" spans="1:30">
      <c r="A608">
        <v>3573</v>
      </c>
      <c r="B608" t="s">
        <v>1153</v>
      </c>
      <c r="C608">
        <v>17.3</v>
      </c>
      <c r="Y608" s="46"/>
      <c r="Z608" s="46"/>
      <c r="AA608" s="46"/>
      <c r="AD608" s="46"/>
    </row>
    <row r="609" spans="1:30">
      <c r="A609">
        <v>3576</v>
      </c>
      <c r="B609" t="s">
        <v>1154</v>
      </c>
      <c r="C609">
        <v>20.75</v>
      </c>
      <c r="Y609" s="46"/>
      <c r="Z609" s="46"/>
      <c r="AD609" s="46"/>
    </row>
    <row r="610" spans="1:30">
      <c r="A610">
        <v>3579</v>
      </c>
      <c r="B610" t="s">
        <v>1155</v>
      </c>
      <c r="C610">
        <v>11.85</v>
      </c>
      <c r="Y610" s="46"/>
      <c r="Z610" s="46"/>
      <c r="AA610" s="46"/>
      <c r="AD610" s="46"/>
    </row>
    <row r="611" spans="1:30">
      <c r="A611">
        <v>3583</v>
      </c>
      <c r="B611" t="s">
        <v>1156</v>
      </c>
      <c r="C611">
        <v>73.599999999999994</v>
      </c>
      <c r="Y611" s="46"/>
      <c r="Z611" s="46"/>
      <c r="AA611" s="46"/>
      <c r="AD611" s="46"/>
    </row>
    <row r="612" spans="1:30">
      <c r="A612">
        <v>3584</v>
      </c>
      <c r="B612" t="s">
        <v>1157</v>
      </c>
      <c r="C612">
        <v>6.65</v>
      </c>
      <c r="O612" s="46"/>
      <c r="Y612" s="46"/>
      <c r="Z612" s="46"/>
      <c r="AD612" s="46"/>
    </row>
    <row r="613" spans="1:30">
      <c r="A613">
        <v>3588</v>
      </c>
      <c r="B613" t="s">
        <v>1158</v>
      </c>
      <c r="C613">
        <v>27.45</v>
      </c>
      <c r="Y613" s="46"/>
      <c r="Z613" s="46"/>
      <c r="AD613" s="46"/>
    </row>
    <row r="614" spans="1:30">
      <c r="A614">
        <v>3591</v>
      </c>
      <c r="B614" t="s">
        <v>1159</v>
      </c>
      <c r="C614">
        <v>17.850000000000001</v>
      </c>
      <c r="Y614" s="46"/>
      <c r="Z614" s="46"/>
      <c r="AD614" s="46"/>
    </row>
    <row r="615" spans="1:30">
      <c r="A615">
        <v>3593</v>
      </c>
      <c r="B615" t="s">
        <v>1160</v>
      </c>
      <c r="C615">
        <v>8.06</v>
      </c>
      <c r="Y615" s="46"/>
      <c r="Z615" s="46"/>
      <c r="AD615" s="46"/>
    </row>
    <row r="616" spans="1:30">
      <c r="A616">
        <v>3596</v>
      </c>
      <c r="B616" t="s">
        <v>1161</v>
      </c>
      <c r="C616">
        <v>29.5</v>
      </c>
      <c r="Y616" s="46"/>
      <c r="Z616" s="46"/>
      <c r="AD616" s="46"/>
    </row>
    <row r="617" spans="1:30">
      <c r="A617">
        <v>3598</v>
      </c>
      <c r="B617" t="s">
        <v>1162</v>
      </c>
      <c r="C617">
        <v>49.2</v>
      </c>
      <c r="Y617" s="46"/>
      <c r="Z617" s="46"/>
      <c r="AD617" s="46"/>
    </row>
    <row r="618" spans="1:30">
      <c r="A618">
        <v>3605</v>
      </c>
      <c r="B618" t="s">
        <v>1163</v>
      </c>
      <c r="C618">
        <v>26.85</v>
      </c>
      <c r="Y618" s="46"/>
      <c r="Z618" s="46"/>
      <c r="AA618" s="46"/>
      <c r="AD618" s="46"/>
    </row>
    <row r="619" spans="1:30">
      <c r="A619">
        <v>3607</v>
      </c>
      <c r="B619" t="s">
        <v>1164</v>
      </c>
      <c r="C619">
        <v>54.8</v>
      </c>
      <c r="Y619" s="46"/>
      <c r="Z619" s="46"/>
      <c r="AA619" s="46"/>
      <c r="AD619" s="46"/>
    </row>
    <row r="620" spans="1:30">
      <c r="A620">
        <v>3617</v>
      </c>
      <c r="B620" t="s">
        <v>1165</v>
      </c>
      <c r="C620">
        <v>93.7</v>
      </c>
      <c r="Y620" s="46"/>
      <c r="Z620" s="46"/>
      <c r="AD620" s="46"/>
    </row>
    <row r="621" spans="1:30">
      <c r="A621">
        <v>3622</v>
      </c>
      <c r="B621" t="s">
        <v>1166</v>
      </c>
      <c r="C621">
        <v>11.2</v>
      </c>
      <c r="Y621" s="46"/>
      <c r="Z621" s="46"/>
      <c r="AD621" s="46"/>
    </row>
    <row r="622" spans="1:30">
      <c r="A622">
        <v>3645</v>
      </c>
      <c r="B622" t="s">
        <v>1167</v>
      </c>
      <c r="C622">
        <v>28.45</v>
      </c>
      <c r="Y622" s="46"/>
      <c r="Z622" s="46"/>
      <c r="AD622" s="46"/>
    </row>
    <row r="623" spans="1:30">
      <c r="A623">
        <v>3653</v>
      </c>
      <c r="B623" t="s">
        <v>1168</v>
      </c>
      <c r="C623">
        <v>45</v>
      </c>
      <c r="Y623" s="46"/>
      <c r="Z623" s="46"/>
      <c r="AD623" s="46"/>
    </row>
    <row r="624" spans="1:30">
      <c r="A624">
        <v>3661</v>
      </c>
      <c r="B624" t="s">
        <v>1169</v>
      </c>
      <c r="C624">
        <v>39.950000000000003</v>
      </c>
      <c r="Y624" s="46"/>
      <c r="Z624" s="46"/>
      <c r="AA624" s="46"/>
      <c r="AD624" s="46"/>
    </row>
    <row r="625" spans="1:30">
      <c r="A625">
        <v>3665</v>
      </c>
      <c r="B625" t="s">
        <v>1170</v>
      </c>
      <c r="C625">
        <v>132</v>
      </c>
      <c r="Y625" s="46"/>
      <c r="Z625" s="46"/>
      <c r="AA625" s="46"/>
      <c r="AD625" s="46"/>
    </row>
    <row r="626" spans="1:30">
      <c r="A626">
        <v>3669</v>
      </c>
      <c r="B626" t="s">
        <v>1171</v>
      </c>
      <c r="C626">
        <v>14.25</v>
      </c>
      <c r="Y626" s="46"/>
      <c r="Z626" s="46"/>
      <c r="AD626" s="46"/>
    </row>
    <row r="627" spans="1:30">
      <c r="A627">
        <v>3673</v>
      </c>
      <c r="B627" t="s">
        <v>1172</v>
      </c>
      <c r="C627">
        <v>98.1</v>
      </c>
      <c r="Y627" s="46"/>
      <c r="Z627" s="46"/>
      <c r="AD627" s="46"/>
    </row>
    <row r="628" spans="1:30">
      <c r="A628">
        <v>3679</v>
      </c>
      <c r="B628" t="s">
        <v>1173</v>
      </c>
      <c r="C628">
        <v>43.9</v>
      </c>
      <c r="Y628" s="46"/>
      <c r="Z628" s="46"/>
      <c r="AD628" s="46"/>
    </row>
    <row r="629" spans="1:30">
      <c r="A629">
        <v>3682</v>
      </c>
      <c r="B629" t="s">
        <v>1174</v>
      </c>
      <c r="C629">
        <v>11.25</v>
      </c>
      <c r="Y629" s="46"/>
      <c r="Z629" s="46"/>
      <c r="AD629" s="46"/>
    </row>
    <row r="630" spans="1:30">
      <c r="A630">
        <v>3686</v>
      </c>
      <c r="B630" t="s">
        <v>1175</v>
      </c>
      <c r="C630">
        <v>7.25</v>
      </c>
      <c r="Y630" s="46"/>
      <c r="Z630" s="46"/>
      <c r="AA630" s="46"/>
      <c r="AD630" s="46"/>
    </row>
    <row r="631" spans="1:30">
      <c r="A631">
        <v>3694</v>
      </c>
      <c r="B631" t="s">
        <v>1176</v>
      </c>
      <c r="C631">
        <v>18.899999999999999</v>
      </c>
      <c r="Y631" s="46"/>
      <c r="Z631" s="46"/>
      <c r="AD631" s="46"/>
    </row>
    <row r="632" spans="1:30">
      <c r="A632">
        <v>3698</v>
      </c>
      <c r="B632" t="s">
        <v>1177</v>
      </c>
      <c r="C632">
        <v>16.7</v>
      </c>
      <c r="Y632" s="46"/>
      <c r="Z632" s="46"/>
      <c r="AD632" s="46"/>
    </row>
    <row r="633" spans="1:30">
      <c r="A633">
        <v>3701</v>
      </c>
      <c r="B633" t="s">
        <v>1178</v>
      </c>
      <c r="C633">
        <v>8.44</v>
      </c>
      <c r="Y633" s="46"/>
      <c r="Z633" s="46"/>
      <c r="AD633" s="46"/>
    </row>
    <row r="634" spans="1:30">
      <c r="A634">
        <v>3702</v>
      </c>
      <c r="B634" t="s">
        <v>1179</v>
      </c>
      <c r="C634">
        <v>32.6</v>
      </c>
      <c r="Y634" s="46"/>
      <c r="Z634" s="46"/>
      <c r="AD634" s="46"/>
    </row>
    <row r="635" spans="1:30">
      <c r="A635">
        <v>3703</v>
      </c>
      <c r="B635" t="s">
        <v>1180</v>
      </c>
      <c r="C635">
        <v>10.25</v>
      </c>
      <c r="Y635" s="46"/>
      <c r="Z635" s="46"/>
      <c r="AD635" s="46"/>
    </row>
    <row r="636" spans="1:30">
      <c r="A636">
        <v>3704</v>
      </c>
      <c r="B636" t="s">
        <v>1181</v>
      </c>
      <c r="C636">
        <v>12.5</v>
      </c>
      <c r="Y636" s="46"/>
      <c r="Z636" s="46"/>
      <c r="AD636" s="46"/>
    </row>
    <row r="637" spans="1:30">
      <c r="A637">
        <v>3705</v>
      </c>
      <c r="B637" t="s">
        <v>1182</v>
      </c>
      <c r="C637">
        <v>46.05</v>
      </c>
      <c r="Y637" s="46"/>
      <c r="Z637" s="46"/>
      <c r="AD637" s="46"/>
    </row>
    <row r="638" spans="1:30">
      <c r="A638">
        <v>3706</v>
      </c>
      <c r="B638" t="s">
        <v>1183</v>
      </c>
      <c r="C638">
        <v>24</v>
      </c>
      <c r="O638" s="46"/>
      <c r="Y638" s="46"/>
      <c r="Z638" s="46"/>
      <c r="AD638" s="46"/>
    </row>
    <row r="639" spans="1:30">
      <c r="A639">
        <v>4104</v>
      </c>
      <c r="B639" t="s">
        <v>1184</v>
      </c>
      <c r="C639">
        <v>49</v>
      </c>
      <c r="Y639" s="46"/>
      <c r="Z639" s="46"/>
      <c r="AA639" s="46"/>
      <c r="AD639" s="46"/>
    </row>
    <row r="640" spans="1:30">
      <c r="A640">
        <v>4106</v>
      </c>
      <c r="B640" t="s">
        <v>1185</v>
      </c>
      <c r="C640">
        <v>38.6</v>
      </c>
      <c r="Y640" s="46"/>
      <c r="Z640" s="46"/>
      <c r="AD640" s="46"/>
    </row>
    <row r="641" spans="1:30">
      <c r="A641">
        <v>4108</v>
      </c>
      <c r="B641" t="s">
        <v>1186</v>
      </c>
      <c r="C641">
        <v>28.2</v>
      </c>
      <c r="Y641" s="46"/>
      <c r="Z641" s="46"/>
      <c r="AD641" s="46"/>
    </row>
    <row r="642" spans="1:30">
      <c r="A642">
        <v>4119</v>
      </c>
      <c r="B642" t="s">
        <v>1187</v>
      </c>
      <c r="C642">
        <v>78.7</v>
      </c>
      <c r="Y642" s="46"/>
      <c r="Z642" s="46"/>
      <c r="AD642" s="46"/>
    </row>
    <row r="643" spans="1:30">
      <c r="A643">
        <v>4133</v>
      </c>
      <c r="B643" t="s">
        <v>1188</v>
      </c>
      <c r="C643">
        <v>30.1</v>
      </c>
      <c r="Y643" s="46"/>
      <c r="Z643" s="46"/>
      <c r="AD643" s="46"/>
    </row>
    <row r="644" spans="1:30">
      <c r="A644">
        <v>4137</v>
      </c>
      <c r="B644" t="s">
        <v>1189</v>
      </c>
      <c r="C644">
        <v>321</v>
      </c>
      <c r="Y644" s="46"/>
      <c r="Z644" s="46"/>
      <c r="AD644" s="46"/>
    </row>
    <row r="645" spans="1:30">
      <c r="A645">
        <v>4141</v>
      </c>
      <c r="B645" t="s">
        <v>1190</v>
      </c>
      <c r="C645">
        <v>30.5</v>
      </c>
      <c r="Y645" s="46"/>
      <c r="Z645" s="46"/>
      <c r="AA645" s="46"/>
      <c r="AD645" s="46"/>
    </row>
    <row r="646" spans="1:30">
      <c r="A646">
        <v>4142</v>
      </c>
      <c r="B646" t="s">
        <v>1191</v>
      </c>
      <c r="C646">
        <v>25.7</v>
      </c>
      <c r="Y646" s="46"/>
      <c r="Z646" s="46"/>
      <c r="AA646" s="46"/>
      <c r="AD646" s="46"/>
    </row>
    <row r="647" spans="1:30">
      <c r="A647">
        <v>4144</v>
      </c>
      <c r="B647" t="s">
        <v>1192</v>
      </c>
      <c r="C647">
        <v>58.7</v>
      </c>
      <c r="Y647" s="46"/>
      <c r="Z647" s="46"/>
      <c r="AD647" s="46"/>
    </row>
    <row r="648" spans="1:30">
      <c r="A648">
        <v>4164</v>
      </c>
      <c r="B648" t="s">
        <v>1193</v>
      </c>
      <c r="C648">
        <v>63</v>
      </c>
      <c r="Y648" s="46"/>
      <c r="Z648" s="46"/>
      <c r="AD648" s="46"/>
    </row>
    <row r="649" spans="1:30">
      <c r="A649">
        <v>4190</v>
      </c>
      <c r="B649" t="s">
        <v>1881</v>
      </c>
      <c r="C649">
        <v>163</v>
      </c>
      <c r="Y649" s="46"/>
      <c r="Z649" s="46"/>
      <c r="AA649" s="46"/>
      <c r="AD649" s="46"/>
    </row>
    <row r="650" spans="1:30">
      <c r="A650">
        <v>4306</v>
      </c>
      <c r="B650" t="s">
        <v>1194</v>
      </c>
      <c r="C650">
        <v>14.3</v>
      </c>
      <c r="Y650" s="46"/>
      <c r="Z650" s="46"/>
      <c r="AA650" s="46"/>
      <c r="AD650" s="46"/>
    </row>
    <row r="651" spans="1:30">
      <c r="A651">
        <v>4414</v>
      </c>
      <c r="B651" t="s">
        <v>1195</v>
      </c>
      <c r="C651">
        <v>18.05</v>
      </c>
      <c r="Y651" s="46"/>
      <c r="Z651" s="46"/>
      <c r="AD651" s="46"/>
    </row>
    <row r="652" spans="1:30">
      <c r="A652">
        <v>4426</v>
      </c>
      <c r="B652" t="s">
        <v>1196</v>
      </c>
      <c r="C652">
        <v>188</v>
      </c>
      <c r="Y652" s="46"/>
      <c r="Z652" s="46"/>
      <c r="AA652" s="46"/>
      <c r="AD652" s="46"/>
    </row>
    <row r="653" spans="1:30">
      <c r="A653">
        <v>4526</v>
      </c>
      <c r="B653" t="s">
        <v>1197</v>
      </c>
      <c r="C653">
        <v>23.9</v>
      </c>
      <c r="Y653" s="46"/>
      <c r="Z653" s="46"/>
      <c r="AA653" s="46"/>
      <c r="AD653" s="46"/>
    </row>
    <row r="654" spans="1:30">
      <c r="A654">
        <v>4532</v>
      </c>
      <c r="B654" t="s">
        <v>1198</v>
      </c>
      <c r="C654">
        <v>22.75</v>
      </c>
      <c r="Y654" s="46"/>
      <c r="Z654" s="46"/>
      <c r="AD654" s="46"/>
    </row>
    <row r="655" spans="1:30">
      <c r="A655">
        <v>4536</v>
      </c>
      <c r="B655" t="s">
        <v>1199</v>
      </c>
      <c r="C655">
        <v>122</v>
      </c>
      <c r="Y655" s="46"/>
      <c r="Z655" s="46"/>
      <c r="AD655" s="46"/>
    </row>
    <row r="656" spans="1:30">
      <c r="A656">
        <v>4551</v>
      </c>
      <c r="B656" t="s">
        <v>1200</v>
      </c>
      <c r="C656">
        <v>68.3</v>
      </c>
      <c r="Y656" s="46"/>
      <c r="Z656" s="46"/>
      <c r="AD656" s="46"/>
    </row>
    <row r="657" spans="1:30">
      <c r="A657">
        <v>4555</v>
      </c>
      <c r="B657" t="s">
        <v>1900</v>
      </c>
      <c r="C657">
        <v>80.2</v>
      </c>
      <c r="Y657" s="46"/>
      <c r="Z657" s="46"/>
      <c r="AD657" s="46"/>
    </row>
    <row r="658" spans="1:30">
      <c r="A658">
        <v>4557</v>
      </c>
      <c r="B658" t="s">
        <v>1201</v>
      </c>
      <c r="C658">
        <v>75.3</v>
      </c>
      <c r="Y658" s="46"/>
      <c r="Z658" s="46"/>
      <c r="AD658" s="46"/>
    </row>
    <row r="659" spans="1:30">
      <c r="A659">
        <v>4720</v>
      </c>
      <c r="B659" t="s">
        <v>1202</v>
      </c>
      <c r="C659">
        <v>15.5</v>
      </c>
      <c r="Y659" s="46"/>
      <c r="Z659" s="46"/>
      <c r="AD659" s="46"/>
    </row>
    <row r="660" spans="1:30">
      <c r="A660">
        <v>4722</v>
      </c>
      <c r="B660" t="s">
        <v>1203</v>
      </c>
      <c r="C660">
        <v>31.7</v>
      </c>
      <c r="Y660" s="46"/>
      <c r="Z660" s="46"/>
      <c r="AD660" s="46"/>
    </row>
    <row r="661" spans="1:30">
      <c r="A661">
        <v>4725</v>
      </c>
      <c r="B661" t="s">
        <v>1204</v>
      </c>
      <c r="C661">
        <v>16.2</v>
      </c>
      <c r="Y661" s="46"/>
      <c r="Z661" s="46"/>
      <c r="AD661" s="46"/>
    </row>
    <row r="662" spans="1:30">
      <c r="A662">
        <v>4733</v>
      </c>
      <c r="B662" t="s">
        <v>1205</v>
      </c>
      <c r="C662">
        <v>206</v>
      </c>
      <c r="Y662" s="46"/>
      <c r="Z662" s="46"/>
      <c r="AD662" s="46"/>
    </row>
    <row r="663" spans="1:30">
      <c r="A663">
        <v>4737</v>
      </c>
      <c r="B663" t="s">
        <v>1206</v>
      </c>
      <c r="C663">
        <v>54</v>
      </c>
      <c r="Y663" s="46"/>
      <c r="Z663" s="46"/>
      <c r="AD663" s="46"/>
    </row>
    <row r="664" spans="1:30">
      <c r="A664">
        <v>4746</v>
      </c>
      <c r="B664" t="s">
        <v>1207</v>
      </c>
      <c r="C664">
        <v>59.7</v>
      </c>
      <c r="Y664" s="46"/>
      <c r="Z664" s="46"/>
      <c r="AD664" s="46"/>
    </row>
    <row r="665" spans="1:30">
      <c r="A665">
        <v>4755</v>
      </c>
      <c r="B665" t="s">
        <v>1208</v>
      </c>
      <c r="C665">
        <v>23.9</v>
      </c>
      <c r="Y665" s="46"/>
      <c r="Z665" s="46"/>
      <c r="AA665" s="46"/>
      <c r="AD665" s="46"/>
    </row>
    <row r="666" spans="1:30">
      <c r="A666">
        <v>4763</v>
      </c>
      <c r="B666" t="s">
        <v>1966</v>
      </c>
      <c r="C666">
        <v>133</v>
      </c>
      <c r="Y666" s="46"/>
      <c r="Z666" s="46"/>
      <c r="AA666" s="46"/>
      <c r="AD666" s="46"/>
    </row>
    <row r="667" spans="1:30">
      <c r="A667">
        <v>4904</v>
      </c>
      <c r="B667" t="s">
        <v>1209</v>
      </c>
      <c r="C667">
        <v>69</v>
      </c>
      <c r="Y667" s="46"/>
      <c r="Z667" s="46"/>
      <c r="AA667" s="46"/>
      <c r="AD667" s="46"/>
    </row>
    <row r="668" spans="1:30">
      <c r="A668">
        <v>4906</v>
      </c>
      <c r="B668" t="s">
        <v>1210</v>
      </c>
      <c r="C668">
        <v>15.65</v>
      </c>
      <c r="Y668" s="46"/>
      <c r="Z668" s="46"/>
      <c r="AA668" s="46"/>
      <c r="AD668" s="46"/>
    </row>
    <row r="669" spans="1:30">
      <c r="A669">
        <v>4912</v>
      </c>
      <c r="B669" t="s">
        <v>1211</v>
      </c>
      <c r="C669">
        <v>82.8</v>
      </c>
      <c r="Y669" s="46"/>
      <c r="Z669" s="46"/>
      <c r="AD669" s="46"/>
    </row>
    <row r="670" spans="1:30">
      <c r="A670">
        <v>4915</v>
      </c>
      <c r="B670" t="s">
        <v>1212</v>
      </c>
      <c r="C670">
        <v>42.65</v>
      </c>
      <c r="Y670" s="46"/>
      <c r="Z670" s="46"/>
      <c r="AD670" s="46"/>
    </row>
    <row r="671" spans="1:30">
      <c r="A671">
        <v>4916</v>
      </c>
      <c r="B671" t="s">
        <v>1213</v>
      </c>
      <c r="C671">
        <v>22.5</v>
      </c>
      <c r="Y671" s="46"/>
      <c r="Z671" s="46"/>
      <c r="AD671" s="46"/>
    </row>
    <row r="672" spans="1:30">
      <c r="A672">
        <v>4919</v>
      </c>
      <c r="B672" t="s">
        <v>1214</v>
      </c>
      <c r="C672">
        <v>28.45</v>
      </c>
      <c r="Y672" s="46"/>
      <c r="Z672" s="46"/>
      <c r="AD672" s="46"/>
    </row>
    <row r="673" spans="1:30">
      <c r="A673">
        <v>4927</v>
      </c>
      <c r="B673" t="s">
        <v>1215</v>
      </c>
      <c r="C673">
        <v>40.950000000000003</v>
      </c>
      <c r="Y673" s="46"/>
      <c r="Z673" s="46"/>
      <c r="AD673" s="46"/>
    </row>
    <row r="674" spans="1:30">
      <c r="A674">
        <v>4930</v>
      </c>
      <c r="B674" t="s">
        <v>1216</v>
      </c>
      <c r="C674">
        <v>16.5</v>
      </c>
      <c r="Y674" s="46"/>
      <c r="Z674" s="46"/>
      <c r="AD674" s="46"/>
    </row>
    <row r="675" spans="1:30">
      <c r="A675">
        <v>4934</v>
      </c>
      <c r="B675" t="s">
        <v>1217</v>
      </c>
      <c r="C675">
        <v>17.55</v>
      </c>
      <c r="Y675" s="46"/>
      <c r="Z675" s="46"/>
      <c r="AD675" s="46"/>
    </row>
    <row r="676" spans="1:30">
      <c r="A676">
        <v>4935</v>
      </c>
      <c r="B676" t="s">
        <v>1218</v>
      </c>
      <c r="C676">
        <v>61.2</v>
      </c>
      <c r="Y676" s="46"/>
      <c r="Z676" s="46"/>
      <c r="AD676" s="46"/>
    </row>
    <row r="677" spans="1:30">
      <c r="A677">
        <v>4938</v>
      </c>
      <c r="B677" t="s">
        <v>1219</v>
      </c>
      <c r="C677">
        <v>83.1</v>
      </c>
      <c r="Y677" s="46"/>
      <c r="Z677" s="46"/>
      <c r="AD677" s="46"/>
    </row>
    <row r="678" spans="1:30">
      <c r="A678">
        <v>4942</v>
      </c>
      <c r="B678" t="s">
        <v>1220</v>
      </c>
      <c r="C678">
        <v>24</v>
      </c>
      <c r="Y678" s="46"/>
      <c r="Z678" s="46"/>
      <c r="AD678" s="46"/>
    </row>
    <row r="679" spans="1:30">
      <c r="A679">
        <v>4952</v>
      </c>
      <c r="B679" t="s">
        <v>1221</v>
      </c>
      <c r="C679">
        <v>35.9</v>
      </c>
      <c r="Y679" s="46"/>
      <c r="Z679" s="46"/>
      <c r="AD679" s="46"/>
    </row>
    <row r="680" spans="1:30">
      <c r="A680">
        <v>4956</v>
      </c>
      <c r="B680" t="s">
        <v>1222</v>
      </c>
      <c r="C680">
        <v>11.75</v>
      </c>
      <c r="Y680" s="46"/>
      <c r="Z680" s="46"/>
      <c r="AD680" s="46"/>
    </row>
    <row r="681" spans="1:30">
      <c r="A681">
        <v>4958</v>
      </c>
      <c r="B681" t="s">
        <v>1223</v>
      </c>
      <c r="C681">
        <v>94</v>
      </c>
      <c r="Y681" s="46"/>
      <c r="Z681" s="46"/>
      <c r="AD681" s="46"/>
    </row>
    <row r="682" spans="1:30">
      <c r="A682">
        <v>4960</v>
      </c>
      <c r="B682" t="s">
        <v>1224</v>
      </c>
      <c r="C682">
        <v>21.7</v>
      </c>
      <c r="Y682" s="46"/>
      <c r="Z682" s="46"/>
      <c r="AD682" s="46"/>
    </row>
    <row r="683" spans="1:30">
      <c r="A683">
        <v>4976</v>
      </c>
      <c r="B683" t="s">
        <v>1225</v>
      </c>
      <c r="C683">
        <v>15.6</v>
      </c>
      <c r="Y683" s="46"/>
      <c r="Z683" s="46"/>
      <c r="AD683" s="46"/>
    </row>
    <row r="684" spans="1:30">
      <c r="A684">
        <v>4977</v>
      </c>
      <c r="B684" t="s">
        <v>1226</v>
      </c>
      <c r="C684">
        <v>62.5</v>
      </c>
      <c r="Y684" s="46"/>
      <c r="Z684" s="46"/>
      <c r="AD684" s="46"/>
    </row>
    <row r="685" spans="1:30">
      <c r="A685">
        <v>4984</v>
      </c>
      <c r="B685" t="s">
        <v>1227</v>
      </c>
      <c r="C685">
        <v>36.5</v>
      </c>
      <c r="Y685" s="46"/>
      <c r="Z685" s="46"/>
      <c r="AD685" s="46"/>
    </row>
    <row r="686" spans="1:30">
      <c r="A686">
        <v>4994</v>
      </c>
      <c r="B686" t="s">
        <v>1228</v>
      </c>
      <c r="C686">
        <v>85.7</v>
      </c>
      <c r="Y686" s="46"/>
      <c r="Z686" s="46"/>
      <c r="AD686" s="46"/>
    </row>
    <row r="687" spans="1:30">
      <c r="A687">
        <v>4999</v>
      </c>
      <c r="B687" t="s">
        <v>1229</v>
      </c>
      <c r="C687">
        <v>44.6</v>
      </c>
      <c r="Y687" s="46"/>
      <c r="Z687" s="46"/>
      <c r="AA687" s="46"/>
      <c r="AD687" s="46"/>
    </row>
    <row r="688" spans="1:30">
      <c r="A688">
        <v>5007</v>
      </c>
      <c r="B688" t="s">
        <v>1230</v>
      </c>
      <c r="C688">
        <v>62.9</v>
      </c>
      <c r="Y688" s="46"/>
      <c r="Z688" s="46"/>
      <c r="AA688" s="46"/>
      <c r="AD688" s="46"/>
    </row>
    <row r="689" spans="1:30">
      <c r="A689">
        <v>5203</v>
      </c>
      <c r="B689" t="s">
        <v>1231</v>
      </c>
      <c r="C689">
        <v>71.599999999999994</v>
      </c>
      <c r="Y689" s="46"/>
      <c r="Z689" s="46"/>
      <c r="AD689" s="46"/>
    </row>
    <row r="690" spans="1:30">
      <c r="A690">
        <v>5215</v>
      </c>
      <c r="B690" t="s">
        <v>1232</v>
      </c>
      <c r="C690">
        <v>39</v>
      </c>
      <c r="Y690" s="46"/>
      <c r="Z690" s="46"/>
      <c r="AA690" s="46"/>
      <c r="AD690" s="46"/>
    </row>
    <row r="691" spans="1:30">
      <c r="A691">
        <v>5225</v>
      </c>
      <c r="B691" t="s">
        <v>1233</v>
      </c>
      <c r="C691">
        <v>51.8</v>
      </c>
      <c r="Y691" s="46"/>
      <c r="Z691" s="46"/>
      <c r="AA691" s="46"/>
      <c r="AD691" s="46"/>
    </row>
    <row r="692" spans="1:30">
      <c r="A692">
        <v>5234</v>
      </c>
      <c r="B692" t="s">
        <v>1234</v>
      </c>
      <c r="C692">
        <v>30.85</v>
      </c>
      <c r="Y692" s="46"/>
      <c r="Z692" s="46"/>
      <c r="AD692" s="46"/>
    </row>
    <row r="693" spans="1:30">
      <c r="A693">
        <v>5243</v>
      </c>
      <c r="B693" t="s">
        <v>1235</v>
      </c>
      <c r="C693">
        <v>29.75</v>
      </c>
      <c r="Y693" s="46"/>
      <c r="Z693" s="46"/>
      <c r="AD693" s="46"/>
    </row>
    <row r="694" spans="1:30">
      <c r="A694">
        <v>5259</v>
      </c>
      <c r="B694" t="s">
        <v>1236</v>
      </c>
      <c r="C694">
        <v>8.3000000000000007</v>
      </c>
      <c r="Y694" s="46"/>
      <c r="Z694" s="46"/>
      <c r="AA694" s="46"/>
      <c r="AD694" s="46"/>
    </row>
    <row r="695" spans="1:30">
      <c r="A695">
        <v>5264</v>
      </c>
      <c r="B695" t="s">
        <v>1237</v>
      </c>
      <c r="C695">
        <v>158.5</v>
      </c>
      <c r="Y695" s="46"/>
      <c r="Z695" s="46"/>
      <c r="AA695" s="46"/>
      <c r="AD695" s="46"/>
    </row>
    <row r="696" spans="1:30">
      <c r="A696">
        <v>5269</v>
      </c>
      <c r="B696" t="s">
        <v>1238</v>
      </c>
      <c r="C696">
        <v>161.5</v>
      </c>
      <c r="Y696" s="46"/>
      <c r="Z696" s="46"/>
      <c r="AD696" s="46"/>
    </row>
    <row r="697" spans="1:30">
      <c r="A697">
        <v>5285</v>
      </c>
      <c r="B697" t="s">
        <v>1239</v>
      </c>
      <c r="C697">
        <v>31.3</v>
      </c>
      <c r="Y697" s="46"/>
      <c r="Z697" s="46"/>
      <c r="AD697" s="46"/>
    </row>
    <row r="698" spans="1:30">
      <c r="A698">
        <v>5288</v>
      </c>
      <c r="B698" t="s">
        <v>1240</v>
      </c>
      <c r="C698">
        <v>117</v>
      </c>
      <c r="Y698" s="46"/>
      <c r="Z698" s="46"/>
      <c r="AD698" s="46"/>
    </row>
    <row r="699" spans="1:30">
      <c r="A699">
        <v>5305</v>
      </c>
      <c r="B699" t="s">
        <v>1241</v>
      </c>
      <c r="C699">
        <v>21.55</v>
      </c>
      <c r="Y699" s="46"/>
      <c r="Z699" s="46"/>
      <c r="AA699" s="46"/>
      <c r="AD699" s="46"/>
    </row>
    <row r="700" spans="1:30">
      <c r="A700">
        <v>5388</v>
      </c>
      <c r="B700" t="s">
        <v>1242</v>
      </c>
      <c r="C700">
        <v>72.2</v>
      </c>
      <c r="Y700" s="46"/>
      <c r="Z700" s="46"/>
      <c r="AD700" s="46"/>
    </row>
    <row r="701" spans="1:30">
      <c r="A701">
        <v>5434</v>
      </c>
      <c r="B701" t="s">
        <v>1243</v>
      </c>
      <c r="C701">
        <v>52</v>
      </c>
      <c r="Y701" s="46"/>
      <c r="Z701" s="46"/>
      <c r="AD701" s="46"/>
    </row>
    <row r="702" spans="1:30">
      <c r="A702">
        <v>5469</v>
      </c>
      <c r="B702" t="s">
        <v>1244</v>
      </c>
      <c r="C702">
        <v>10.1</v>
      </c>
    </row>
    <row r="703" spans="1:30">
      <c r="A703">
        <v>5471</v>
      </c>
      <c r="B703" t="s">
        <v>1245</v>
      </c>
      <c r="C703">
        <v>35.700000000000003</v>
      </c>
    </row>
    <row r="704" spans="1:30">
      <c r="A704">
        <v>5484</v>
      </c>
      <c r="B704" t="s">
        <v>1246</v>
      </c>
      <c r="C704">
        <v>4.4800000000000004</v>
      </c>
    </row>
    <row r="705" spans="1:3">
      <c r="A705">
        <v>5515</v>
      </c>
      <c r="B705" t="s">
        <v>1247</v>
      </c>
      <c r="C705">
        <v>9.7100000000000009</v>
      </c>
    </row>
    <row r="706" spans="1:3">
      <c r="A706">
        <v>5519</v>
      </c>
      <c r="B706" t="s">
        <v>1248</v>
      </c>
      <c r="C706">
        <v>13.45</v>
      </c>
    </row>
    <row r="707" spans="1:3">
      <c r="A707">
        <v>5521</v>
      </c>
      <c r="B707" t="s">
        <v>1249</v>
      </c>
      <c r="C707">
        <v>11.6</v>
      </c>
    </row>
    <row r="708" spans="1:3">
      <c r="A708">
        <v>5522</v>
      </c>
      <c r="B708" t="s">
        <v>1250</v>
      </c>
      <c r="C708">
        <v>35.799999999999997</v>
      </c>
    </row>
    <row r="709" spans="1:3">
      <c r="A709">
        <v>5525</v>
      </c>
      <c r="B709" t="s">
        <v>1251</v>
      </c>
      <c r="C709">
        <v>16.100000000000001</v>
      </c>
    </row>
    <row r="710" spans="1:3">
      <c r="A710">
        <v>5531</v>
      </c>
      <c r="B710" t="s">
        <v>1252</v>
      </c>
      <c r="C710">
        <v>11.95</v>
      </c>
    </row>
    <row r="711" spans="1:3">
      <c r="A711">
        <v>5533</v>
      </c>
      <c r="B711" t="s">
        <v>1253</v>
      </c>
      <c r="C711">
        <v>17.05</v>
      </c>
    </row>
    <row r="712" spans="1:3">
      <c r="A712">
        <v>5534</v>
      </c>
      <c r="B712" t="s">
        <v>1254</v>
      </c>
      <c r="C712">
        <v>41.3</v>
      </c>
    </row>
    <row r="713" spans="1:3">
      <c r="A713">
        <v>5538</v>
      </c>
      <c r="B713" t="s">
        <v>1255</v>
      </c>
      <c r="C713">
        <v>27.2</v>
      </c>
    </row>
    <row r="714" spans="1:3">
      <c r="A714">
        <v>5607</v>
      </c>
      <c r="B714" t="s">
        <v>1256</v>
      </c>
      <c r="C714">
        <v>15.75</v>
      </c>
    </row>
    <row r="715" spans="1:3">
      <c r="A715">
        <v>5608</v>
      </c>
      <c r="B715" t="s">
        <v>1257</v>
      </c>
      <c r="C715">
        <v>13.45</v>
      </c>
    </row>
    <row r="716" spans="1:3">
      <c r="A716">
        <v>5706</v>
      </c>
      <c r="B716" t="s">
        <v>1258</v>
      </c>
      <c r="C716">
        <v>39.6</v>
      </c>
    </row>
    <row r="717" spans="1:3">
      <c r="A717">
        <v>5871</v>
      </c>
      <c r="B717" t="s">
        <v>1259</v>
      </c>
      <c r="C717">
        <v>58.5</v>
      </c>
    </row>
    <row r="718" spans="1:3">
      <c r="A718">
        <v>5880</v>
      </c>
      <c r="B718" t="s">
        <v>1260</v>
      </c>
      <c r="C718">
        <v>14</v>
      </c>
    </row>
    <row r="719" spans="1:3">
      <c r="A719">
        <v>5906</v>
      </c>
      <c r="B719" t="s">
        <v>1261</v>
      </c>
      <c r="C719">
        <v>2.7</v>
      </c>
    </row>
    <row r="720" spans="1:3">
      <c r="A720">
        <v>5907</v>
      </c>
      <c r="B720" t="s">
        <v>1262</v>
      </c>
      <c r="C720">
        <v>35.799999999999997</v>
      </c>
    </row>
    <row r="721" spans="1:3">
      <c r="A721">
        <v>6005</v>
      </c>
      <c r="B721" t="s">
        <v>1263</v>
      </c>
      <c r="C721">
        <v>9.66</v>
      </c>
    </row>
    <row r="722" spans="1:3">
      <c r="A722">
        <v>6108</v>
      </c>
      <c r="B722" t="s">
        <v>1264</v>
      </c>
      <c r="C722">
        <v>12.95</v>
      </c>
    </row>
    <row r="723" spans="1:3">
      <c r="A723">
        <v>6112</v>
      </c>
      <c r="B723" t="s">
        <v>1265</v>
      </c>
      <c r="C723">
        <v>27.9</v>
      </c>
    </row>
    <row r="724" spans="1:3">
      <c r="A724">
        <v>6115</v>
      </c>
      <c r="B724" t="s">
        <v>1266</v>
      </c>
      <c r="C724">
        <v>32.5</v>
      </c>
    </row>
    <row r="725" spans="1:3">
      <c r="A725">
        <v>6116</v>
      </c>
      <c r="B725" t="s">
        <v>1267</v>
      </c>
      <c r="C725">
        <v>3.79</v>
      </c>
    </row>
    <row r="726" spans="1:3">
      <c r="A726">
        <v>6117</v>
      </c>
      <c r="B726" t="s">
        <v>1268</v>
      </c>
      <c r="C726">
        <v>14.5</v>
      </c>
    </row>
    <row r="727" spans="1:3">
      <c r="A727">
        <v>6120</v>
      </c>
      <c r="B727" t="s">
        <v>1269</v>
      </c>
      <c r="C727">
        <v>11.6</v>
      </c>
    </row>
    <row r="728" spans="1:3">
      <c r="A728">
        <v>6128</v>
      </c>
      <c r="B728" t="s">
        <v>1270</v>
      </c>
      <c r="C728">
        <v>34.450000000000003</v>
      </c>
    </row>
    <row r="729" spans="1:3">
      <c r="A729">
        <v>6131</v>
      </c>
      <c r="B729" t="s">
        <v>1271</v>
      </c>
      <c r="C729">
        <v>22.6</v>
      </c>
    </row>
    <row r="730" spans="1:3">
      <c r="A730">
        <v>6133</v>
      </c>
      <c r="B730" t="s">
        <v>1272</v>
      </c>
      <c r="C730">
        <v>10.95</v>
      </c>
    </row>
    <row r="731" spans="1:3">
      <c r="A731">
        <v>6136</v>
      </c>
      <c r="B731" t="s">
        <v>1273</v>
      </c>
      <c r="C731">
        <v>24.35</v>
      </c>
    </row>
    <row r="732" spans="1:3">
      <c r="A732">
        <v>6139</v>
      </c>
      <c r="B732" t="s">
        <v>1274</v>
      </c>
      <c r="C732">
        <v>17.149999999999999</v>
      </c>
    </row>
    <row r="733" spans="1:3">
      <c r="A733">
        <v>6141</v>
      </c>
      <c r="B733" t="s">
        <v>1275</v>
      </c>
      <c r="C733">
        <v>8.25</v>
      </c>
    </row>
    <row r="734" spans="1:3">
      <c r="A734">
        <v>6142</v>
      </c>
      <c r="B734" t="s">
        <v>1276</v>
      </c>
      <c r="C734">
        <v>4.57</v>
      </c>
    </row>
    <row r="735" spans="1:3">
      <c r="A735">
        <v>6145</v>
      </c>
      <c r="B735" t="s">
        <v>1277</v>
      </c>
      <c r="C735">
        <v>13.45</v>
      </c>
    </row>
    <row r="736" spans="1:3">
      <c r="A736">
        <v>6152</v>
      </c>
      <c r="B736" t="s">
        <v>1278</v>
      </c>
      <c r="C736">
        <v>7.69</v>
      </c>
    </row>
    <row r="737" spans="1:3">
      <c r="A737">
        <v>6153</v>
      </c>
      <c r="B737" t="s">
        <v>1279</v>
      </c>
      <c r="C737">
        <v>26.1</v>
      </c>
    </row>
    <row r="738" spans="1:3">
      <c r="A738">
        <v>6155</v>
      </c>
      <c r="B738" t="s">
        <v>1280</v>
      </c>
      <c r="C738">
        <v>18</v>
      </c>
    </row>
    <row r="739" spans="1:3">
      <c r="A739">
        <v>6164</v>
      </c>
      <c r="B739" t="s">
        <v>1281</v>
      </c>
      <c r="C739">
        <v>10.65</v>
      </c>
    </row>
    <row r="740" spans="1:3">
      <c r="A740">
        <v>6165</v>
      </c>
      <c r="B740" t="s">
        <v>1282</v>
      </c>
      <c r="C740">
        <v>10.65</v>
      </c>
    </row>
    <row r="741" spans="1:3">
      <c r="A741">
        <v>6166</v>
      </c>
      <c r="B741" t="s">
        <v>1283</v>
      </c>
      <c r="C741">
        <v>81.7</v>
      </c>
    </row>
    <row r="742" spans="1:3">
      <c r="A742">
        <v>6168</v>
      </c>
      <c r="B742" t="s">
        <v>1284</v>
      </c>
      <c r="C742">
        <v>12.6</v>
      </c>
    </row>
    <row r="743" spans="1:3">
      <c r="A743">
        <v>6172</v>
      </c>
      <c r="B743" t="s">
        <v>1285</v>
      </c>
      <c r="C743">
        <v>4.99</v>
      </c>
    </row>
    <row r="744" spans="1:3">
      <c r="A744">
        <v>6176</v>
      </c>
      <c r="B744" t="s">
        <v>1286</v>
      </c>
      <c r="C744">
        <v>89.8</v>
      </c>
    </row>
    <row r="745" spans="1:3">
      <c r="A745">
        <v>6177</v>
      </c>
      <c r="B745" t="s">
        <v>1287</v>
      </c>
      <c r="C745">
        <v>20.75</v>
      </c>
    </row>
    <row r="746" spans="1:3">
      <c r="A746">
        <v>6183</v>
      </c>
      <c r="B746" t="s">
        <v>1288</v>
      </c>
      <c r="C746">
        <v>25.5</v>
      </c>
    </row>
    <row r="747" spans="1:3">
      <c r="A747">
        <v>6184</v>
      </c>
      <c r="B747" t="s">
        <v>1289</v>
      </c>
      <c r="C747">
        <v>52.6</v>
      </c>
    </row>
    <row r="748" spans="1:3">
      <c r="A748">
        <v>6189</v>
      </c>
      <c r="B748" t="s">
        <v>1290</v>
      </c>
      <c r="C748">
        <v>29.6</v>
      </c>
    </row>
    <row r="749" spans="1:3">
      <c r="A749">
        <v>6191</v>
      </c>
      <c r="B749" t="s">
        <v>1291</v>
      </c>
      <c r="C749">
        <v>6.93</v>
      </c>
    </row>
    <row r="750" spans="1:3">
      <c r="A750">
        <v>6192</v>
      </c>
      <c r="B750" t="s">
        <v>1292</v>
      </c>
      <c r="C750">
        <v>44.6</v>
      </c>
    </row>
    <row r="751" spans="1:3">
      <c r="A751">
        <v>6196</v>
      </c>
      <c r="B751" t="s">
        <v>1293</v>
      </c>
      <c r="C751">
        <v>21.95</v>
      </c>
    </row>
    <row r="752" spans="1:3">
      <c r="A752">
        <v>6197</v>
      </c>
      <c r="B752" t="s">
        <v>1294</v>
      </c>
      <c r="C752">
        <v>31.65</v>
      </c>
    </row>
    <row r="753" spans="1:3">
      <c r="A753">
        <v>6201</v>
      </c>
      <c r="B753" t="s">
        <v>1295</v>
      </c>
      <c r="C753">
        <v>25.4</v>
      </c>
    </row>
    <row r="754" spans="1:3">
      <c r="A754">
        <v>6202</v>
      </c>
      <c r="B754" t="s">
        <v>1296</v>
      </c>
      <c r="C754">
        <v>48.85</v>
      </c>
    </row>
    <row r="755" spans="1:3">
      <c r="A755">
        <v>6205</v>
      </c>
      <c r="B755" t="s">
        <v>1297</v>
      </c>
      <c r="C755">
        <v>28.5</v>
      </c>
    </row>
    <row r="756" spans="1:3">
      <c r="A756">
        <v>6206</v>
      </c>
      <c r="B756" t="s">
        <v>1298</v>
      </c>
      <c r="C756">
        <v>102</v>
      </c>
    </row>
    <row r="757" spans="1:3">
      <c r="A757">
        <v>6209</v>
      </c>
      <c r="B757" t="s">
        <v>1299</v>
      </c>
      <c r="C757">
        <v>16.45</v>
      </c>
    </row>
    <row r="758" spans="1:3">
      <c r="A758">
        <v>6213</v>
      </c>
      <c r="B758" t="s">
        <v>1300</v>
      </c>
      <c r="C758">
        <v>22.4</v>
      </c>
    </row>
    <row r="759" spans="1:3">
      <c r="A759">
        <v>6214</v>
      </c>
      <c r="B759" t="s">
        <v>1301</v>
      </c>
      <c r="C759">
        <v>58.5</v>
      </c>
    </row>
    <row r="760" spans="1:3">
      <c r="A760">
        <v>6215</v>
      </c>
      <c r="B760" t="s">
        <v>1302</v>
      </c>
      <c r="C760">
        <v>13.3</v>
      </c>
    </row>
    <row r="761" spans="1:3">
      <c r="A761">
        <v>6216</v>
      </c>
      <c r="B761" t="s">
        <v>1303</v>
      </c>
      <c r="C761">
        <v>27.05</v>
      </c>
    </row>
    <row r="762" spans="1:3">
      <c r="A762">
        <v>6224</v>
      </c>
      <c r="B762" t="s">
        <v>1304</v>
      </c>
      <c r="C762">
        <v>64</v>
      </c>
    </row>
    <row r="763" spans="1:3">
      <c r="A763">
        <v>6225</v>
      </c>
      <c r="B763" t="s">
        <v>1305</v>
      </c>
      <c r="C763">
        <v>3.53</v>
      </c>
    </row>
    <row r="764" spans="1:3">
      <c r="A764">
        <v>6226</v>
      </c>
      <c r="B764" t="s">
        <v>1306</v>
      </c>
      <c r="C764">
        <v>6.16</v>
      </c>
    </row>
    <row r="765" spans="1:3">
      <c r="A765">
        <v>6230</v>
      </c>
      <c r="B765" t="s">
        <v>1307</v>
      </c>
      <c r="C765">
        <v>76.5</v>
      </c>
    </row>
    <row r="766" spans="1:3">
      <c r="A766">
        <v>6235</v>
      </c>
      <c r="B766" t="s">
        <v>1308</v>
      </c>
      <c r="C766">
        <v>9.66</v>
      </c>
    </row>
    <row r="767" spans="1:3">
      <c r="A767">
        <v>6239</v>
      </c>
      <c r="B767" t="s">
        <v>1309</v>
      </c>
      <c r="C767">
        <v>70</v>
      </c>
    </row>
    <row r="768" spans="1:3">
      <c r="A768">
        <v>6243</v>
      </c>
      <c r="B768" t="s">
        <v>1310</v>
      </c>
      <c r="C768">
        <v>16.3</v>
      </c>
    </row>
    <row r="769" spans="1:3">
      <c r="A769">
        <v>6251</v>
      </c>
      <c r="B769" t="s">
        <v>1311</v>
      </c>
      <c r="C769">
        <v>9.25</v>
      </c>
    </row>
    <row r="770" spans="1:3">
      <c r="A770">
        <v>6257</v>
      </c>
      <c r="B770" t="s">
        <v>1312</v>
      </c>
      <c r="C770">
        <v>21.9</v>
      </c>
    </row>
    <row r="771" spans="1:3">
      <c r="A771">
        <v>6269</v>
      </c>
      <c r="B771" t="s">
        <v>1313</v>
      </c>
      <c r="C771">
        <v>90.8</v>
      </c>
    </row>
    <row r="772" spans="1:3">
      <c r="A772">
        <v>6271</v>
      </c>
      <c r="B772" t="s">
        <v>1314</v>
      </c>
      <c r="C772">
        <v>78.2</v>
      </c>
    </row>
    <row r="773" spans="1:3">
      <c r="A773">
        <v>6277</v>
      </c>
      <c r="B773" t="s">
        <v>1315</v>
      </c>
      <c r="C773">
        <v>70.3</v>
      </c>
    </row>
    <row r="774" spans="1:3">
      <c r="A774">
        <v>6278</v>
      </c>
      <c r="B774" t="s">
        <v>1316</v>
      </c>
      <c r="C774">
        <v>30.5</v>
      </c>
    </row>
    <row r="775" spans="1:3">
      <c r="A775">
        <v>6281</v>
      </c>
      <c r="B775" t="s">
        <v>1317</v>
      </c>
      <c r="C775">
        <v>56.5</v>
      </c>
    </row>
    <row r="776" spans="1:3">
      <c r="A776">
        <v>6282</v>
      </c>
      <c r="B776" t="s">
        <v>1318</v>
      </c>
      <c r="C776">
        <v>23.4</v>
      </c>
    </row>
    <row r="777" spans="1:3">
      <c r="A777">
        <v>6283</v>
      </c>
      <c r="B777" t="s">
        <v>1319</v>
      </c>
      <c r="C777">
        <v>4.8</v>
      </c>
    </row>
    <row r="778" spans="1:3">
      <c r="A778">
        <v>6285</v>
      </c>
      <c r="B778" t="s">
        <v>1320</v>
      </c>
      <c r="C778">
        <v>78.099999999999994</v>
      </c>
    </row>
    <row r="779" spans="1:3">
      <c r="A779">
        <v>6286</v>
      </c>
      <c r="B779" t="s">
        <v>1321</v>
      </c>
      <c r="C779">
        <v>189.5</v>
      </c>
    </row>
    <row r="780" spans="1:3">
      <c r="A780">
        <v>6289</v>
      </c>
      <c r="B780" t="s">
        <v>1322</v>
      </c>
      <c r="C780">
        <v>1.31</v>
      </c>
    </row>
    <row r="781" spans="1:3">
      <c r="A781">
        <v>6405</v>
      </c>
      <c r="B781" t="s">
        <v>1323</v>
      </c>
      <c r="C781">
        <v>24.5</v>
      </c>
    </row>
    <row r="782" spans="1:3">
      <c r="A782">
        <v>6409</v>
      </c>
      <c r="B782" t="s">
        <v>1324</v>
      </c>
      <c r="C782">
        <v>430</v>
      </c>
    </row>
    <row r="783" spans="1:3">
      <c r="A783">
        <v>6412</v>
      </c>
      <c r="B783" t="s">
        <v>1325</v>
      </c>
      <c r="C783">
        <v>34.799999999999997</v>
      </c>
    </row>
    <row r="784" spans="1:3">
      <c r="A784">
        <v>6414</v>
      </c>
      <c r="B784" t="s">
        <v>1326</v>
      </c>
      <c r="C784">
        <v>329</v>
      </c>
    </row>
    <row r="785" spans="1:3">
      <c r="A785">
        <v>6415</v>
      </c>
      <c r="B785" t="s">
        <v>1327</v>
      </c>
      <c r="C785">
        <v>351.5</v>
      </c>
    </row>
    <row r="786" spans="1:3">
      <c r="A786">
        <v>6422</v>
      </c>
      <c r="B786" t="s">
        <v>1328</v>
      </c>
      <c r="C786">
        <v>52.5</v>
      </c>
    </row>
    <row r="787" spans="1:3">
      <c r="A787">
        <v>6431</v>
      </c>
      <c r="B787" t="s">
        <v>1329</v>
      </c>
      <c r="C787">
        <v>12.2</v>
      </c>
    </row>
    <row r="788" spans="1:3">
      <c r="A788">
        <v>6442</v>
      </c>
      <c r="B788" t="s">
        <v>1330</v>
      </c>
      <c r="C788">
        <v>58.2</v>
      </c>
    </row>
    <row r="789" spans="1:3">
      <c r="A789">
        <v>6443</v>
      </c>
      <c r="B789" t="s">
        <v>1331</v>
      </c>
      <c r="C789">
        <v>16.600000000000001</v>
      </c>
    </row>
    <row r="790" spans="1:3">
      <c r="A790">
        <v>6449</v>
      </c>
      <c r="B790" t="s">
        <v>1332</v>
      </c>
      <c r="C790">
        <v>27.45</v>
      </c>
    </row>
    <row r="791" spans="1:3">
      <c r="A791">
        <v>6451</v>
      </c>
      <c r="B791" t="s">
        <v>1333</v>
      </c>
      <c r="C791">
        <v>120.5</v>
      </c>
    </row>
    <row r="792" spans="1:3">
      <c r="A792">
        <v>6452</v>
      </c>
      <c r="B792" t="s">
        <v>1334</v>
      </c>
      <c r="C792">
        <v>328</v>
      </c>
    </row>
    <row r="793" spans="1:3">
      <c r="A793">
        <v>6456</v>
      </c>
      <c r="B793" t="s">
        <v>1335</v>
      </c>
      <c r="C793">
        <v>131</v>
      </c>
    </row>
    <row r="794" spans="1:3">
      <c r="A794">
        <v>6504</v>
      </c>
      <c r="B794" t="s">
        <v>1336</v>
      </c>
      <c r="C794">
        <v>185</v>
      </c>
    </row>
    <row r="795" spans="1:3">
      <c r="A795">
        <v>6505</v>
      </c>
      <c r="B795" t="s">
        <v>1337</v>
      </c>
      <c r="C795">
        <v>75.2</v>
      </c>
    </row>
    <row r="796" spans="1:3">
      <c r="A796">
        <v>6605</v>
      </c>
      <c r="B796" t="s">
        <v>1338</v>
      </c>
      <c r="C796">
        <v>108</v>
      </c>
    </row>
    <row r="797" spans="1:3">
      <c r="A797">
        <v>6702</v>
      </c>
      <c r="B797" t="s">
        <v>1339</v>
      </c>
      <c r="C797">
        <v>7.67</v>
      </c>
    </row>
    <row r="798" spans="1:3">
      <c r="A798">
        <v>8011</v>
      </c>
      <c r="B798" t="s">
        <v>1340</v>
      </c>
      <c r="C798">
        <v>22.75</v>
      </c>
    </row>
    <row r="799" spans="1:3">
      <c r="A799">
        <v>8016</v>
      </c>
      <c r="B799" t="s">
        <v>1341</v>
      </c>
      <c r="C799">
        <v>92.5</v>
      </c>
    </row>
    <row r="800" spans="1:3">
      <c r="A800">
        <v>8021</v>
      </c>
      <c r="B800" t="s">
        <v>1342</v>
      </c>
      <c r="C800">
        <v>25.8</v>
      </c>
    </row>
    <row r="801" spans="1:13">
      <c r="A801">
        <v>8033</v>
      </c>
      <c r="B801" t="s">
        <v>1343</v>
      </c>
      <c r="C801">
        <v>9.8000000000000007</v>
      </c>
    </row>
    <row r="802" spans="1:13">
      <c r="A802">
        <v>8039</v>
      </c>
      <c r="B802" t="s">
        <v>1344</v>
      </c>
      <c r="C802">
        <v>37.6</v>
      </c>
    </row>
    <row r="803" spans="1:13">
      <c r="A803">
        <v>8046</v>
      </c>
      <c r="B803" t="s">
        <v>1345</v>
      </c>
      <c r="C803">
        <v>32.6</v>
      </c>
    </row>
    <row r="804" spans="1:13">
      <c r="A804">
        <v>8070</v>
      </c>
      <c r="B804" t="s">
        <v>1346</v>
      </c>
      <c r="C804">
        <v>87.3</v>
      </c>
    </row>
    <row r="805" spans="1:13">
      <c r="A805">
        <v>8072</v>
      </c>
      <c r="B805" t="s">
        <v>1347</v>
      </c>
      <c r="C805">
        <v>26.1</v>
      </c>
    </row>
    <row r="806" spans="1:13">
      <c r="A806">
        <v>8081</v>
      </c>
      <c r="B806" t="s">
        <v>1348</v>
      </c>
      <c r="C806">
        <v>57.1</v>
      </c>
    </row>
    <row r="807" spans="1:13">
      <c r="A807">
        <v>8101</v>
      </c>
      <c r="B807" t="s">
        <v>1349</v>
      </c>
      <c r="C807">
        <v>8.5</v>
      </c>
    </row>
    <row r="808" spans="1:13">
      <c r="A808">
        <v>8103</v>
      </c>
      <c r="B808" t="s">
        <v>1350</v>
      </c>
      <c r="C808">
        <v>27</v>
      </c>
    </row>
    <row r="809" spans="1:13">
      <c r="A809">
        <v>8105</v>
      </c>
      <c r="B809" t="s">
        <v>1351</v>
      </c>
      <c r="C809">
        <v>17.45</v>
      </c>
    </row>
    <row r="810" spans="1:13">
      <c r="A810">
        <v>8110</v>
      </c>
      <c r="B810" t="s">
        <v>1352</v>
      </c>
      <c r="C810">
        <v>9.7799999999999994</v>
      </c>
    </row>
    <row r="811" spans="1:13">
      <c r="A811">
        <v>8112</v>
      </c>
      <c r="B811" t="s">
        <v>1353</v>
      </c>
      <c r="C811">
        <v>13.8</v>
      </c>
    </row>
    <row r="812" spans="1:13">
      <c r="A812">
        <v>8114</v>
      </c>
      <c r="B812" t="s">
        <v>1354</v>
      </c>
      <c r="C812">
        <v>161</v>
      </c>
    </row>
    <row r="813" spans="1:13">
      <c r="A813">
        <v>8131</v>
      </c>
      <c r="B813" t="s">
        <v>1355</v>
      </c>
      <c r="C813">
        <v>20.55</v>
      </c>
    </row>
    <row r="814" spans="1:13">
      <c r="A814">
        <v>8150</v>
      </c>
      <c r="B814" t="s">
        <v>1356</v>
      </c>
      <c r="C814">
        <v>35.200000000000003</v>
      </c>
    </row>
    <row r="815" spans="1:13">
      <c r="A815">
        <v>8163</v>
      </c>
      <c r="B815" t="s">
        <v>1357</v>
      </c>
      <c r="C815">
        <v>16.95</v>
      </c>
    </row>
    <row r="816" spans="1:13">
      <c r="A816">
        <v>8201</v>
      </c>
      <c r="B816" t="s">
        <v>1358</v>
      </c>
      <c r="C816">
        <v>8.58</v>
      </c>
      <c r="M816" s="46"/>
    </row>
    <row r="817" spans="1:3">
      <c r="A817">
        <v>8210</v>
      </c>
      <c r="B817" t="s">
        <v>1359</v>
      </c>
      <c r="C817">
        <v>34</v>
      </c>
    </row>
    <row r="818" spans="1:3">
      <c r="A818">
        <v>8213</v>
      </c>
      <c r="B818" t="s">
        <v>1360</v>
      </c>
      <c r="C818">
        <v>34.549999999999997</v>
      </c>
    </row>
    <row r="819" spans="1:3">
      <c r="A819">
        <v>8215</v>
      </c>
      <c r="B819" t="s">
        <v>1361</v>
      </c>
      <c r="C819">
        <v>22.65</v>
      </c>
    </row>
    <row r="820" spans="1:3">
      <c r="A820">
        <v>8222</v>
      </c>
      <c r="B820" t="s">
        <v>1362</v>
      </c>
      <c r="C820">
        <v>23.45</v>
      </c>
    </row>
    <row r="821" spans="1:3">
      <c r="A821">
        <v>8249</v>
      </c>
      <c r="B821" t="s">
        <v>1363</v>
      </c>
      <c r="C821">
        <v>22.85</v>
      </c>
    </row>
    <row r="822" spans="1:3">
      <c r="A822">
        <v>8261</v>
      </c>
      <c r="B822" t="s">
        <v>1364</v>
      </c>
      <c r="C822">
        <v>30.5</v>
      </c>
    </row>
    <row r="823" spans="1:3">
      <c r="A823">
        <v>8271</v>
      </c>
      <c r="B823" t="s">
        <v>1365</v>
      </c>
      <c r="C823">
        <v>18.45</v>
      </c>
    </row>
    <row r="824" spans="1:3">
      <c r="A824">
        <v>8341</v>
      </c>
      <c r="B824" t="s">
        <v>1366</v>
      </c>
      <c r="C824">
        <v>113</v>
      </c>
    </row>
    <row r="825" spans="1:3">
      <c r="A825">
        <v>8374</v>
      </c>
      <c r="B825" t="s">
        <v>1367</v>
      </c>
      <c r="C825">
        <v>11.1</v>
      </c>
    </row>
    <row r="826" spans="1:3">
      <c r="A826">
        <v>8404</v>
      </c>
      <c r="B826" t="s">
        <v>1368</v>
      </c>
      <c r="C826">
        <v>34.6</v>
      </c>
    </row>
    <row r="827" spans="1:3">
      <c r="A827">
        <v>8411</v>
      </c>
      <c r="B827" t="s">
        <v>1369</v>
      </c>
      <c r="C827">
        <v>25.85</v>
      </c>
    </row>
    <row r="828" spans="1:3">
      <c r="A828">
        <v>8422</v>
      </c>
      <c r="B828" t="s">
        <v>1370</v>
      </c>
      <c r="C828">
        <v>166</v>
      </c>
    </row>
    <row r="829" spans="1:3">
      <c r="A829">
        <v>8427</v>
      </c>
      <c r="B829" t="s">
        <v>1371</v>
      </c>
      <c r="C829">
        <v>54.8</v>
      </c>
    </row>
    <row r="830" spans="1:3">
      <c r="A830">
        <v>8429</v>
      </c>
      <c r="B830" t="s">
        <v>1372</v>
      </c>
      <c r="C830">
        <v>64.099999999999994</v>
      </c>
    </row>
    <row r="831" spans="1:3">
      <c r="A831">
        <v>8443</v>
      </c>
      <c r="B831" t="s">
        <v>1373</v>
      </c>
      <c r="C831">
        <v>22.7</v>
      </c>
    </row>
    <row r="832" spans="1:3">
      <c r="A832">
        <v>8454</v>
      </c>
      <c r="B832" t="s">
        <v>1374</v>
      </c>
      <c r="C832">
        <v>196</v>
      </c>
    </row>
    <row r="833" spans="1:3">
      <c r="A833">
        <v>8463</v>
      </c>
      <c r="B833" t="s">
        <v>1375</v>
      </c>
      <c r="C833">
        <v>25.95</v>
      </c>
    </row>
    <row r="834" spans="1:3">
      <c r="A834">
        <v>8926</v>
      </c>
      <c r="B834" t="s">
        <v>1376</v>
      </c>
      <c r="C834">
        <v>22.65</v>
      </c>
    </row>
    <row r="835" spans="1:3">
      <c r="A835">
        <v>8940</v>
      </c>
      <c r="B835" t="s">
        <v>1377</v>
      </c>
      <c r="C835">
        <v>16.8</v>
      </c>
    </row>
    <row r="836" spans="1:3">
      <c r="A836">
        <v>8996</v>
      </c>
      <c r="B836" t="s">
        <v>1378</v>
      </c>
      <c r="C836">
        <v>42.05</v>
      </c>
    </row>
    <row r="837" spans="1:3">
      <c r="A837">
        <v>9103</v>
      </c>
      <c r="B837" t="s">
        <v>1379</v>
      </c>
      <c r="C837">
        <v>2.08</v>
      </c>
    </row>
    <row r="838" spans="1:3">
      <c r="A838">
        <v>910322</v>
      </c>
      <c r="B838" t="s">
        <v>1380</v>
      </c>
      <c r="C838">
        <v>26.2</v>
      </c>
    </row>
    <row r="839" spans="1:3">
      <c r="A839">
        <v>910482</v>
      </c>
      <c r="B839" t="s">
        <v>1381</v>
      </c>
      <c r="C839">
        <v>1.54</v>
      </c>
    </row>
    <row r="840" spans="1:3">
      <c r="A840">
        <v>9105</v>
      </c>
      <c r="B840" t="s">
        <v>1382</v>
      </c>
      <c r="C840">
        <v>3.38</v>
      </c>
    </row>
    <row r="841" spans="1:3">
      <c r="A841">
        <v>9106</v>
      </c>
      <c r="B841" t="s">
        <v>1383</v>
      </c>
      <c r="C841" t="s">
        <v>1908</v>
      </c>
    </row>
    <row r="842" spans="1:3">
      <c r="A842">
        <v>910708</v>
      </c>
      <c r="B842" t="s">
        <v>1384</v>
      </c>
      <c r="C842" t="s">
        <v>1908</v>
      </c>
    </row>
    <row r="843" spans="1:3">
      <c r="A843">
        <v>910801</v>
      </c>
      <c r="B843" t="s">
        <v>1385</v>
      </c>
      <c r="C843">
        <v>5.04</v>
      </c>
    </row>
    <row r="844" spans="1:3">
      <c r="A844">
        <v>910861</v>
      </c>
      <c r="B844" t="s">
        <v>1386</v>
      </c>
      <c r="C844">
        <v>17.649999999999999</v>
      </c>
    </row>
    <row r="845" spans="1:3">
      <c r="A845">
        <v>9110</v>
      </c>
      <c r="B845" t="s">
        <v>1387</v>
      </c>
      <c r="C845">
        <v>4.0199999999999996</v>
      </c>
    </row>
    <row r="846" spans="1:3">
      <c r="A846">
        <v>911608</v>
      </c>
      <c r="B846" t="s">
        <v>1388</v>
      </c>
      <c r="C846" t="s">
        <v>1908</v>
      </c>
    </row>
    <row r="847" spans="1:3">
      <c r="A847">
        <v>911611</v>
      </c>
      <c r="B847" t="s">
        <v>1389</v>
      </c>
      <c r="C847">
        <v>1.19</v>
      </c>
    </row>
    <row r="848" spans="1:3">
      <c r="A848">
        <v>911612</v>
      </c>
      <c r="B848" t="s">
        <v>1390</v>
      </c>
      <c r="C848">
        <v>0.57999999999999996</v>
      </c>
    </row>
    <row r="849" spans="1:3">
      <c r="A849">
        <v>911616</v>
      </c>
      <c r="B849" t="s">
        <v>1391</v>
      </c>
      <c r="C849">
        <v>2.68</v>
      </c>
    </row>
    <row r="850" spans="1:3">
      <c r="A850">
        <v>911619</v>
      </c>
      <c r="B850" t="s">
        <v>1392</v>
      </c>
      <c r="C850">
        <v>1.31</v>
      </c>
    </row>
    <row r="851" spans="1:3">
      <c r="A851">
        <v>911622</v>
      </c>
      <c r="B851" t="s">
        <v>1393</v>
      </c>
      <c r="C851" t="s">
        <v>1908</v>
      </c>
    </row>
    <row r="852" spans="1:3">
      <c r="A852">
        <v>911626</v>
      </c>
      <c r="B852" t="s">
        <v>1394</v>
      </c>
      <c r="C852" t="s">
        <v>1908</v>
      </c>
    </row>
    <row r="853" spans="1:3">
      <c r="A853">
        <v>911868</v>
      </c>
      <c r="B853" t="s">
        <v>1395</v>
      </c>
      <c r="C853">
        <v>2.33</v>
      </c>
    </row>
    <row r="854" spans="1:3">
      <c r="A854">
        <v>912000</v>
      </c>
      <c r="B854" t="s">
        <v>1396</v>
      </c>
      <c r="C854">
        <v>3.53</v>
      </c>
    </row>
    <row r="855" spans="1:3">
      <c r="A855">
        <v>912398</v>
      </c>
      <c r="B855" t="s">
        <v>1397</v>
      </c>
      <c r="C855">
        <v>8.1</v>
      </c>
    </row>
    <row r="856" spans="1:3">
      <c r="A856">
        <v>9136</v>
      </c>
      <c r="B856" t="s">
        <v>1398</v>
      </c>
      <c r="C856">
        <v>17.100000000000001</v>
      </c>
    </row>
    <row r="857" spans="1:3">
      <c r="A857">
        <v>913889</v>
      </c>
      <c r="B857" t="s">
        <v>1399</v>
      </c>
      <c r="C857">
        <v>2.39</v>
      </c>
    </row>
    <row r="858" spans="1:3">
      <c r="A858">
        <v>9157</v>
      </c>
      <c r="B858" t="s">
        <v>1400</v>
      </c>
      <c r="C858">
        <v>1.5</v>
      </c>
    </row>
    <row r="859" spans="1:3">
      <c r="A859">
        <v>9188</v>
      </c>
      <c r="B859" t="s">
        <v>1401</v>
      </c>
      <c r="C859">
        <v>4.0999999999999996</v>
      </c>
    </row>
    <row r="860" spans="1:3">
      <c r="A860">
        <v>9802</v>
      </c>
      <c r="B860" t="s">
        <v>1402</v>
      </c>
      <c r="C860">
        <v>49.5</v>
      </c>
    </row>
    <row r="861" spans="1:3">
      <c r="A861">
        <v>9902</v>
      </c>
      <c r="B861" t="s">
        <v>1403</v>
      </c>
      <c r="C861">
        <v>10.65</v>
      </c>
    </row>
    <row r="862" spans="1:3">
      <c r="A862">
        <v>9904</v>
      </c>
      <c r="B862" t="s">
        <v>1404</v>
      </c>
      <c r="C862">
        <v>45.8</v>
      </c>
    </row>
    <row r="863" spans="1:3">
      <c r="A863">
        <v>9905</v>
      </c>
      <c r="B863" t="s">
        <v>1405</v>
      </c>
      <c r="C863">
        <v>28.9</v>
      </c>
    </row>
    <row r="864" spans="1:3">
      <c r="A864">
        <v>9906</v>
      </c>
      <c r="B864" t="s">
        <v>1406</v>
      </c>
      <c r="C864">
        <v>19.3</v>
      </c>
    </row>
    <row r="865" spans="1:3">
      <c r="A865">
        <v>9907</v>
      </c>
      <c r="B865" t="s">
        <v>1407</v>
      </c>
      <c r="C865">
        <v>15.25</v>
      </c>
    </row>
    <row r="866" spans="1:3">
      <c r="A866">
        <v>9908</v>
      </c>
      <c r="B866" t="s">
        <v>1408</v>
      </c>
      <c r="C866">
        <v>22.05</v>
      </c>
    </row>
    <row r="867" spans="1:3">
      <c r="A867">
        <v>9910</v>
      </c>
      <c r="B867" t="s">
        <v>1409</v>
      </c>
      <c r="C867">
        <v>178.5</v>
      </c>
    </row>
    <row r="868" spans="1:3">
      <c r="A868">
        <v>9911</v>
      </c>
      <c r="B868" t="s">
        <v>1410</v>
      </c>
      <c r="C868">
        <v>18.05</v>
      </c>
    </row>
    <row r="869" spans="1:3">
      <c r="A869">
        <v>9912</v>
      </c>
      <c r="B869" t="s">
        <v>1411</v>
      </c>
      <c r="C869">
        <v>9.59</v>
      </c>
    </row>
    <row r="870" spans="1:3">
      <c r="A870">
        <v>9914</v>
      </c>
      <c r="B870" t="s">
        <v>1412</v>
      </c>
      <c r="C870">
        <v>191.5</v>
      </c>
    </row>
    <row r="871" spans="1:3">
      <c r="A871">
        <v>9917</v>
      </c>
      <c r="B871" t="s">
        <v>1413</v>
      </c>
      <c r="C871">
        <v>98.8</v>
      </c>
    </row>
    <row r="872" spans="1:3">
      <c r="A872">
        <v>9918</v>
      </c>
      <c r="B872" t="s">
        <v>1414</v>
      </c>
      <c r="C872" t="s">
        <v>1908</v>
      </c>
    </row>
    <row r="873" spans="1:3">
      <c r="A873">
        <v>9919</v>
      </c>
      <c r="B873" t="s">
        <v>1415</v>
      </c>
      <c r="C873">
        <v>12</v>
      </c>
    </row>
    <row r="874" spans="1:3">
      <c r="A874">
        <v>9921</v>
      </c>
      <c r="B874" t="s">
        <v>1416</v>
      </c>
      <c r="C874">
        <v>231.5</v>
      </c>
    </row>
    <row r="875" spans="1:3">
      <c r="A875">
        <v>9924</v>
      </c>
      <c r="B875" t="s">
        <v>1417</v>
      </c>
      <c r="C875">
        <v>47.15</v>
      </c>
    </row>
    <row r="876" spans="1:3">
      <c r="A876">
        <v>9925</v>
      </c>
      <c r="B876" t="s">
        <v>1418</v>
      </c>
      <c r="C876">
        <v>38.950000000000003</v>
      </c>
    </row>
    <row r="877" spans="1:3">
      <c r="A877">
        <v>9926</v>
      </c>
      <c r="B877" t="s">
        <v>1419</v>
      </c>
      <c r="C877">
        <v>40.299999999999997</v>
      </c>
    </row>
    <row r="878" spans="1:3">
      <c r="A878">
        <v>9927</v>
      </c>
      <c r="B878" t="s">
        <v>1420</v>
      </c>
      <c r="C878">
        <v>29.6</v>
      </c>
    </row>
    <row r="879" spans="1:3">
      <c r="A879">
        <v>9928</v>
      </c>
      <c r="B879" t="s">
        <v>1421</v>
      </c>
      <c r="C879">
        <v>11.5</v>
      </c>
    </row>
    <row r="880" spans="1:3">
      <c r="A880">
        <v>9929</v>
      </c>
      <c r="B880" t="s">
        <v>1422</v>
      </c>
      <c r="C880">
        <v>13.25</v>
      </c>
    </row>
    <row r="881" spans="1:3">
      <c r="A881">
        <v>9930</v>
      </c>
      <c r="B881" t="s">
        <v>1423</v>
      </c>
      <c r="C881">
        <v>62.5</v>
      </c>
    </row>
    <row r="882" spans="1:3">
      <c r="A882">
        <v>9931</v>
      </c>
      <c r="B882" t="s">
        <v>1424</v>
      </c>
      <c r="C882" t="s">
        <v>1908</v>
      </c>
    </row>
    <row r="883" spans="1:3">
      <c r="A883">
        <v>9933</v>
      </c>
      <c r="B883" t="s">
        <v>1425</v>
      </c>
      <c r="C883">
        <v>39.700000000000003</v>
      </c>
    </row>
    <row r="884" spans="1:3">
      <c r="A884">
        <v>9934</v>
      </c>
      <c r="B884" t="s">
        <v>1426</v>
      </c>
      <c r="C884">
        <v>14.6</v>
      </c>
    </row>
    <row r="885" spans="1:3">
      <c r="A885">
        <v>9935</v>
      </c>
      <c r="B885" t="s">
        <v>1427</v>
      </c>
      <c r="C885">
        <v>10</v>
      </c>
    </row>
    <row r="886" spans="1:3">
      <c r="A886">
        <v>9937</v>
      </c>
      <c r="B886" t="s">
        <v>1428</v>
      </c>
      <c r="C886">
        <v>36.35</v>
      </c>
    </row>
    <row r="887" spans="1:3">
      <c r="A887">
        <v>9938</v>
      </c>
      <c r="B887" t="s">
        <v>1429</v>
      </c>
      <c r="C887">
        <v>74.099999999999994</v>
      </c>
    </row>
    <row r="888" spans="1:3">
      <c r="A888">
        <v>9939</v>
      </c>
      <c r="B888" t="s">
        <v>1430</v>
      </c>
      <c r="C888">
        <v>49.55</v>
      </c>
    </row>
    <row r="889" spans="1:3">
      <c r="A889">
        <v>9940</v>
      </c>
      <c r="B889" t="s">
        <v>1431</v>
      </c>
      <c r="C889">
        <v>28.25</v>
      </c>
    </row>
    <row r="890" spans="1:3">
      <c r="A890">
        <v>9941</v>
      </c>
      <c r="B890" t="s">
        <v>1432</v>
      </c>
      <c r="C890">
        <v>74.2</v>
      </c>
    </row>
    <row r="891" spans="1:3">
      <c r="A891">
        <v>9942</v>
      </c>
      <c r="B891" t="s">
        <v>1433</v>
      </c>
      <c r="C891">
        <v>73.400000000000006</v>
      </c>
    </row>
    <row r="892" spans="1:3">
      <c r="A892">
        <v>9943</v>
      </c>
      <c r="B892" t="s">
        <v>1434</v>
      </c>
      <c r="C892">
        <v>56.4</v>
      </c>
    </row>
    <row r="893" spans="1:3">
      <c r="A893">
        <v>9944</v>
      </c>
      <c r="B893" t="s">
        <v>1435</v>
      </c>
      <c r="C893">
        <v>29.95</v>
      </c>
    </row>
    <row r="894" spans="1:3">
      <c r="A894">
        <v>9945</v>
      </c>
      <c r="B894" t="s">
        <v>1436</v>
      </c>
      <c r="C894">
        <v>40.049999999999997</v>
      </c>
    </row>
    <row r="895" spans="1:3">
      <c r="A895">
        <v>9946</v>
      </c>
      <c r="B895" t="s">
        <v>1437</v>
      </c>
      <c r="C895">
        <v>16.45</v>
      </c>
    </row>
    <row r="896" spans="1:3">
      <c r="A896">
        <v>9955</v>
      </c>
      <c r="B896" t="s">
        <v>1438</v>
      </c>
      <c r="C896">
        <v>16.649999999999999</v>
      </c>
    </row>
    <row r="897" spans="1:3">
      <c r="A897">
        <v>9958</v>
      </c>
      <c r="B897" t="s">
        <v>1439</v>
      </c>
      <c r="C897">
        <v>10.050000000000001</v>
      </c>
    </row>
    <row r="898" spans="1:3">
      <c r="A898">
        <v>6201</v>
      </c>
      <c r="B898" t="s">
        <v>1440</v>
      </c>
      <c r="C898">
        <v>11.37</v>
      </c>
    </row>
    <row r="899" spans="1:3">
      <c r="A899">
        <v>1256</v>
      </c>
      <c r="B899" t="s">
        <v>1441</v>
      </c>
      <c r="C899">
        <v>145</v>
      </c>
    </row>
    <row r="900" spans="1:3">
      <c r="A900">
        <v>1258</v>
      </c>
      <c r="B900" t="s">
        <v>1442</v>
      </c>
      <c r="C900">
        <v>40.799999999999997</v>
      </c>
    </row>
    <row r="901" spans="1:3">
      <c r="A901">
        <v>1259</v>
      </c>
      <c r="B901" t="s">
        <v>264</v>
      </c>
      <c r="C901">
        <v>62.9</v>
      </c>
    </row>
    <row r="902" spans="1:3">
      <c r="A902">
        <v>1264</v>
      </c>
      <c r="B902" t="s">
        <v>265</v>
      </c>
      <c r="C902">
        <v>187</v>
      </c>
    </row>
    <row r="903" spans="1:3">
      <c r="A903">
        <v>1333</v>
      </c>
      <c r="B903" t="s">
        <v>266</v>
      </c>
      <c r="C903">
        <v>6.59</v>
      </c>
    </row>
    <row r="904" spans="1:3">
      <c r="A904">
        <v>1336</v>
      </c>
      <c r="B904" t="s">
        <v>267</v>
      </c>
      <c r="C904">
        <v>8.3699999999999992</v>
      </c>
    </row>
    <row r="905" spans="1:3">
      <c r="A905">
        <v>1565</v>
      </c>
      <c r="B905" t="s">
        <v>1443</v>
      </c>
      <c r="C905">
        <v>560</v>
      </c>
    </row>
    <row r="906" spans="1:3">
      <c r="A906">
        <v>1566</v>
      </c>
      <c r="B906" t="s">
        <v>268</v>
      </c>
      <c r="C906">
        <v>23.9</v>
      </c>
    </row>
    <row r="907" spans="1:3">
      <c r="A907">
        <v>1569</v>
      </c>
      <c r="B907" t="s">
        <v>269</v>
      </c>
      <c r="C907">
        <v>10.8</v>
      </c>
    </row>
    <row r="908" spans="1:3">
      <c r="A908">
        <v>1570</v>
      </c>
      <c r="B908" t="s">
        <v>1444</v>
      </c>
      <c r="C908">
        <v>17.7</v>
      </c>
    </row>
    <row r="909" spans="1:3">
      <c r="A909">
        <v>1580</v>
      </c>
      <c r="B909" t="s">
        <v>1445</v>
      </c>
      <c r="C909">
        <v>112</v>
      </c>
    </row>
    <row r="910" spans="1:3">
      <c r="A910">
        <v>1584</v>
      </c>
      <c r="B910" t="s">
        <v>1446</v>
      </c>
      <c r="C910">
        <v>13.6</v>
      </c>
    </row>
    <row r="911" spans="1:3">
      <c r="A911">
        <v>1586</v>
      </c>
      <c r="B911" t="s">
        <v>1447</v>
      </c>
      <c r="C911">
        <v>24.7</v>
      </c>
    </row>
    <row r="912" spans="1:3">
      <c r="A912">
        <v>1591</v>
      </c>
      <c r="B912" t="s">
        <v>1448</v>
      </c>
      <c r="C912">
        <v>0</v>
      </c>
    </row>
    <row r="913" spans="1:3">
      <c r="A913">
        <v>1593</v>
      </c>
      <c r="B913" t="s">
        <v>270</v>
      </c>
      <c r="C913">
        <v>39.1</v>
      </c>
    </row>
    <row r="914" spans="1:3">
      <c r="A914">
        <v>1595</v>
      </c>
      <c r="B914" t="s">
        <v>1449</v>
      </c>
      <c r="C914">
        <v>56.6</v>
      </c>
    </row>
    <row r="915" spans="1:3">
      <c r="A915">
        <v>1597</v>
      </c>
      <c r="B915" t="s">
        <v>271</v>
      </c>
      <c r="C915">
        <v>26.1</v>
      </c>
    </row>
    <row r="916" spans="1:3">
      <c r="A916">
        <v>1599</v>
      </c>
      <c r="B916" t="s">
        <v>1450</v>
      </c>
      <c r="C916">
        <v>66.2</v>
      </c>
    </row>
    <row r="917" spans="1:3">
      <c r="A917">
        <v>1742</v>
      </c>
      <c r="B917" t="s">
        <v>542</v>
      </c>
      <c r="C917">
        <v>12.65</v>
      </c>
    </row>
    <row r="918" spans="1:3">
      <c r="A918">
        <v>1752</v>
      </c>
      <c r="B918" t="s">
        <v>272</v>
      </c>
      <c r="C918">
        <v>44.5</v>
      </c>
    </row>
    <row r="919" spans="1:3">
      <c r="A919">
        <v>1777</v>
      </c>
      <c r="B919" t="s">
        <v>273</v>
      </c>
      <c r="C919">
        <v>77.900000000000006</v>
      </c>
    </row>
    <row r="920" spans="1:3">
      <c r="A920">
        <v>1781</v>
      </c>
      <c r="B920" t="s">
        <v>1451</v>
      </c>
      <c r="C920">
        <v>24.5</v>
      </c>
    </row>
    <row r="921" spans="1:3">
      <c r="A921">
        <v>1784</v>
      </c>
      <c r="B921" t="s">
        <v>1452</v>
      </c>
      <c r="C921">
        <v>33.200000000000003</v>
      </c>
    </row>
    <row r="922" spans="1:3">
      <c r="A922">
        <v>1785</v>
      </c>
      <c r="B922" t="s">
        <v>1453</v>
      </c>
      <c r="C922">
        <v>19.8</v>
      </c>
    </row>
    <row r="923" spans="1:3">
      <c r="A923">
        <v>1787</v>
      </c>
      <c r="B923" t="s">
        <v>274</v>
      </c>
      <c r="C923">
        <v>21</v>
      </c>
    </row>
    <row r="924" spans="1:3">
      <c r="A924">
        <v>1788</v>
      </c>
      <c r="B924" t="s">
        <v>1454</v>
      </c>
      <c r="C924">
        <v>90</v>
      </c>
    </row>
    <row r="925" spans="1:3">
      <c r="A925">
        <v>1795</v>
      </c>
      <c r="B925" t="s">
        <v>1455</v>
      </c>
      <c r="C925">
        <v>70</v>
      </c>
    </row>
    <row r="926" spans="1:3">
      <c r="A926">
        <v>1799</v>
      </c>
      <c r="B926" t="s">
        <v>275</v>
      </c>
      <c r="C926">
        <v>34.4</v>
      </c>
    </row>
    <row r="927" spans="1:3">
      <c r="A927">
        <v>1813</v>
      </c>
      <c r="B927" t="s">
        <v>276</v>
      </c>
      <c r="C927">
        <v>25.2</v>
      </c>
    </row>
    <row r="928" spans="1:3">
      <c r="A928">
        <v>1815</v>
      </c>
      <c r="B928" t="s">
        <v>1456</v>
      </c>
      <c r="C928">
        <v>11.05</v>
      </c>
    </row>
    <row r="929" spans="1:3">
      <c r="A929">
        <v>2035</v>
      </c>
      <c r="B929" t="s">
        <v>1457</v>
      </c>
      <c r="C929">
        <v>45</v>
      </c>
    </row>
    <row r="930" spans="1:3">
      <c r="A930">
        <v>2061</v>
      </c>
      <c r="B930" t="s">
        <v>277</v>
      </c>
      <c r="C930">
        <v>14.6</v>
      </c>
    </row>
    <row r="931" spans="1:3">
      <c r="A931">
        <v>2063</v>
      </c>
      <c r="B931" t="s">
        <v>278</v>
      </c>
      <c r="C931">
        <v>23.8</v>
      </c>
    </row>
    <row r="932" spans="1:3">
      <c r="A932">
        <v>2064</v>
      </c>
      <c r="B932" t="s">
        <v>279</v>
      </c>
      <c r="C932">
        <v>17.899999999999999</v>
      </c>
    </row>
    <row r="933" spans="1:3">
      <c r="A933">
        <v>2066</v>
      </c>
      <c r="B933" t="s">
        <v>280</v>
      </c>
      <c r="C933">
        <v>105</v>
      </c>
    </row>
    <row r="934" spans="1:3">
      <c r="A934">
        <v>2067</v>
      </c>
      <c r="B934" t="s">
        <v>1458</v>
      </c>
      <c r="C934">
        <v>16</v>
      </c>
    </row>
    <row r="935" spans="1:3">
      <c r="A935">
        <v>2221</v>
      </c>
      <c r="B935" t="s">
        <v>1459</v>
      </c>
      <c r="C935">
        <v>20.05</v>
      </c>
    </row>
    <row r="936" spans="1:3">
      <c r="A936">
        <v>2230</v>
      </c>
      <c r="B936" t="s">
        <v>281</v>
      </c>
      <c r="C936">
        <v>14.3</v>
      </c>
    </row>
    <row r="937" spans="1:3">
      <c r="A937">
        <v>2233</v>
      </c>
      <c r="B937" t="s">
        <v>282</v>
      </c>
      <c r="C937">
        <v>65.099999999999994</v>
      </c>
    </row>
    <row r="938" spans="1:3">
      <c r="A938">
        <v>2235</v>
      </c>
      <c r="B938" t="s">
        <v>283</v>
      </c>
      <c r="C938">
        <v>120</v>
      </c>
    </row>
    <row r="939" spans="1:3">
      <c r="A939">
        <v>2596</v>
      </c>
      <c r="B939" t="s">
        <v>1460</v>
      </c>
      <c r="C939">
        <v>12.95</v>
      </c>
    </row>
    <row r="940" spans="1:3">
      <c r="A940">
        <v>2636</v>
      </c>
      <c r="B940" t="s">
        <v>1461</v>
      </c>
      <c r="C940">
        <v>30.55</v>
      </c>
    </row>
    <row r="941" spans="1:3">
      <c r="A941">
        <v>2640</v>
      </c>
      <c r="B941" t="s">
        <v>1462</v>
      </c>
      <c r="C941">
        <v>74.400000000000006</v>
      </c>
    </row>
    <row r="942" spans="1:3">
      <c r="A942">
        <v>2641</v>
      </c>
      <c r="B942" t="s">
        <v>1463</v>
      </c>
      <c r="C942">
        <v>9.1999999999999993</v>
      </c>
    </row>
    <row r="943" spans="1:3">
      <c r="A943">
        <v>2718</v>
      </c>
      <c r="B943" t="s">
        <v>1897</v>
      </c>
      <c r="C943">
        <v>0</v>
      </c>
    </row>
    <row r="944" spans="1:3">
      <c r="A944">
        <v>2719</v>
      </c>
      <c r="B944" t="s">
        <v>285</v>
      </c>
      <c r="C944">
        <v>18.3</v>
      </c>
    </row>
    <row r="945" spans="1:3">
      <c r="A945">
        <v>2724</v>
      </c>
      <c r="B945" t="s">
        <v>1464</v>
      </c>
      <c r="C945">
        <v>16.850000000000001</v>
      </c>
    </row>
    <row r="946" spans="1:3">
      <c r="A946">
        <v>2726</v>
      </c>
      <c r="B946" t="s">
        <v>1465</v>
      </c>
      <c r="C946">
        <v>51.5</v>
      </c>
    </row>
    <row r="947" spans="1:3">
      <c r="A947">
        <v>2729</v>
      </c>
      <c r="B947" t="s">
        <v>1466</v>
      </c>
      <c r="C947">
        <v>231.5</v>
      </c>
    </row>
    <row r="948" spans="1:3">
      <c r="A948">
        <v>2732</v>
      </c>
      <c r="B948" t="s">
        <v>1467</v>
      </c>
      <c r="C948">
        <v>88.1</v>
      </c>
    </row>
    <row r="949" spans="1:3">
      <c r="A949">
        <v>2734</v>
      </c>
      <c r="B949" t="s">
        <v>286</v>
      </c>
      <c r="C949">
        <v>28</v>
      </c>
    </row>
    <row r="950" spans="1:3">
      <c r="A950">
        <v>2916</v>
      </c>
      <c r="B950" t="s">
        <v>1468</v>
      </c>
      <c r="C950">
        <v>18.3</v>
      </c>
    </row>
    <row r="951" spans="1:3">
      <c r="A951">
        <v>2924</v>
      </c>
      <c r="B951" t="s">
        <v>1469</v>
      </c>
      <c r="C951">
        <v>62.5</v>
      </c>
    </row>
    <row r="952" spans="1:3">
      <c r="A952">
        <v>2926</v>
      </c>
      <c r="B952" t="s">
        <v>1470</v>
      </c>
      <c r="C952">
        <v>156</v>
      </c>
    </row>
    <row r="953" spans="1:3">
      <c r="A953">
        <v>3064</v>
      </c>
      <c r="B953" t="s">
        <v>1471</v>
      </c>
      <c r="C953">
        <v>20.75</v>
      </c>
    </row>
    <row r="954" spans="1:3">
      <c r="A954">
        <v>3066</v>
      </c>
      <c r="B954" t="s">
        <v>1472</v>
      </c>
      <c r="C954">
        <v>7.84</v>
      </c>
    </row>
    <row r="955" spans="1:3">
      <c r="A955">
        <v>3067</v>
      </c>
      <c r="B955" t="s">
        <v>287</v>
      </c>
      <c r="C955">
        <v>14.9</v>
      </c>
    </row>
    <row r="956" spans="1:3">
      <c r="A956">
        <v>3068</v>
      </c>
      <c r="B956" t="s">
        <v>288</v>
      </c>
      <c r="C956">
        <v>32.549999999999997</v>
      </c>
    </row>
    <row r="957" spans="1:3">
      <c r="A957">
        <v>3071</v>
      </c>
      <c r="B957" t="s">
        <v>1473</v>
      </c>
      <c r="C957">
        <v>6.52</v>
      </c>
    </row>
    <row r="958" spans="1:3">
      <c r="A958">
        <v>3073</v>
      </c>
      <c r="B958" t="s">
        <v>1474</v>
      </c>
      <c r="C958">
        <v>5.73</v>
      </c>
    </row>
    <row r="959" spans="1:3">
      <c r="A959">
        <v>3078</v>
      </c>
      <c r="B959" t="s">
        <v>1475</v>
      </c>
      <c r="C959">
        <v>17.850000000000001</v>
      </c>
    </row>
    <row r="960" spans="1:3">
      <c r="A960">
        <v>3081</v>
      </c>
      <c r="B960" t="s">
        <v>1476</v>
      </c>
      <c r="C960">
        <v>423.5</v>
      </c>
    </row>
    <row r="961" spans="1:3">
      <c r="A961">
        <v>3083</v>
      </c>
      <c r="B961" t="s">
        <v>1477</v>
      </c>
      <c r="C961">
        <v>39.549999999999997</v>
      </c>
    </row>
    <row r="962" spans="1:3">
      <c r="A962">
        <v>3085</v>
      </c>
      <c r="B962" t="s">
        <v>289</v>
      </c>
      <c r="C962">
        <v>7.21</v>
      </c>
    </row>
    <row r="963" spans="1:3">
      <c r="A963">
        <v>3086</v>
      </c>
      <c r="B963" t="s">
        <v>1478</v>
      </c>
      <c r="C963">
        <v>12.3</v>
      </c>
    </row>
    <row r="964" spans="1:3">
      <c r="A964">
        <v>3088</v>
      </c>
      <c r="B964" t="s">
        <v>290</v>
      </c>
      <c r="C964">
        <v>69.2</v>
      </c>
    </row>
    <row r="965" spans="1:3">
      <c r="A965">
        <v>3089</v>
      </c>
      <c r="B965" t="s">
        <v>291</v>
      </c>
      <c r="C965">
        <v>21.7</v>
      </c>
    </row>
    <row r="966" spans="1:3">
      <c r="A966">
        <v>3092</v>
      </c>
      <c r="B966" t="s">
        <v>292</v>
      </c>
      <c r="C966">
        <v>15</v>
      </c>
    </row>
    <row r="967" spans="1:3">
      <c r="A967">
        <v>3093</v>
      </c>
      <c r="B967" t="s">
        <v>293</v>
      </c>
      <c r="C967">
        <v>28.25</v>
      </c>
    </row>
    <row r="968" spans="1:3">
      <c r="A968">
        <v>3095</v>
      </c>
      <c r="B968" t="s">
        <v>294</v>
      </c>
      <c r="C968">
        <v>6.87</v>
      </c>
    </row>
    <row r="969" spans="1:3">
      <c r="A969">
        <v>3105</v>
      </c>
      <c r="B969" t="s">
        <v>295</v>
      </c>
      <c r="C969">
        <v>45.45</v>
      </c>
    </row>
    <row r="970" spans="1:3">
      <c r="A970">
        <v>3114</v>
      </c>
      <c r="B970" t="s">
        <v>1479</v>
      </c>
      <c r="C970">
        <v>14.75</v>
      </c>
    </row>
    <row r="971" spans="1:3">
      <c r="A971">
        <v>3115</v>
      </c>
      <c r="B971" t="s">
        <v>1480</v>
      </c>
      <c r="C971">
        <v>9.74</v>
      </c>
    </row>
    <row r="972" spans="1:3">
      <c r="A972">
        <v>3118</v>
      </c>
      <c r="B972" t="s">
        <v>1481</v>
      </c>
      <c r="C972">
        <v>38</v>
      </c>
    </row>
    <row r="973" spans="1:3">
      <c r="A973">
        <v>3122</v>
      </c>
      <c r="B973" t="s">
        <v>1482</v>
      </c>
      <c r="C973">
        <v>15.8</v>
      </c>
    </row>
    <row r="974" spans="1:3">
      <c r="A974">
        <v>3128</v>
      </c>
      <c r="B974" t="s">
        <v>1483</v>
      </c>
      <c r="C974">
        <v>12.7</v>
      </c>
    </row>
    <row r="975" spans="1:3">
      <c r="A975">
        <v>3131</v>
      </c>
      <c r="B975" t="s">
        <v>1484</v>
      </c>
      <c r="C975">
        <v>168</v>
      </c>
    </row>
    <row r="976" spans="1:3">
      <c r="A976">
        <v>3141</v>
      </c>
      <c r="B976" t="s">
        <v>296</v>
      </c>
      <c r="C976">
        <v>18.3</v>
      </c>
    </row>
    <row r="977" spans="1:3">
      <c r="A977">
        <v>3144</v>
      </c>
      <c r="B977" t="s">
        <v>297</v>
      </c>
      <c r="C977">
        <v>16.5</v>
      </c>
    </row>
    <row r="978" spans="1:3">
      <c r="A978">
        <v>3152</v>
      </c>
      <c r="B978" t="s">
        <v>1485</v>
      </c>
      <c r="C978">
        <v>203.5</v>
      </c>
    </row>
    <row r="979" spans="1:3">
      <c r="A979">
        <v>3162</v>
      </c>
      <c r="B979" t="s">
        <v>1486</v>
      </c>
      <c r="C979">
        <v>5.99</v>
      </c>
    </row>
    <row r="980" spans="1:3">
      <c r="A980">
        <v>3163</v>
      </c>
      <c r="B980" t="s">
        <v>298</v>
      </c>
      <c r="C980">
        <v>36.1</v>
      </c>
    </row>
    <row r="981" spans="1:3">
      <c r="A981">
        <v>3169</v>
      </c>
      <c r="B981" t="s">
        <v>1487</v>
      </c>
      <c r="C981">
        <v>30.7</v>
      </c>
    </row>
    <row r="982" spans="1:3">
      <c r="A982">
        <v>3171</v>
      </c>
      <c r="B982" t="s">
        <v>1488</v>
      </c>
      <c r="C982">
        <v>19.2</v>
      </c>
    </row>
    <row r="983" spans="1:3">
      <c r="A983">
        <v>3176</v>
      </c>
      <c r="B983" t="s">
        <v>299</v>
      </c>
      <c r="C983">
        <v>86.1</v>
      </c>
    </row>
    <row r="984" spans="1:3">
      <c r="A984">
        <v>3188</v>
      </c>
      <c r="B984" t="s">
        <v>300</v>
      </c>
      <c r="C984">
        <v>9.99</v>
      </c>
    </row>
    <row r="985" spans="1:3">
      <c r="A985">
        <v>3191</v>
      </c>
      <c r="B985" t="s">
        <v>1489</v>
      </c>
      <c r="C985">
        <v>17.2</v>
      </c>
    </row>
    <row r="986" spans="1:3">
      <c r="A986">
        <v>3202</v>
      </c>
      <c r="B986" t="s">
        <v>1490</v>
      </c>
      <c r="C986">
        <v>6.38</v>
      </c>
    </row>
    <row r="987" spans="1:3">
      <c r="A987">
        <v>3205</v>
      </c>
      <c r="B987" t="s">
        <v>301</v>
      </c>
      <c r="C987">
        <v>290</v>
      </c>
    </row>
    <row r="988" spans="1:3">
      <c r="A988">
        <v>3206</v>
      </c>
      <c r="B988" t="s">
        <v>1491</v>
      </c>
      <c r="C988">
        <v>22.8</v>
      </c>
    </row>
    <row r="989" spans="1:3">
      <c r="A989">
        <v>3207</v>
      </c>
      <c r="B989" t="s">
        <v>302</v>
      </c>
      <c r="C989">
        <v>8.76</v>
      </c>
    </row>
    <row r="990" spans="1:3">
      <c r="A990">
        <v>3211</v>
      </c>
      <c r="B990" t="s">
        <v>1492</v>
      </c>
      <c r="C990">
        <v>52</v>
      </c>
    </row>
    <row r="991" spans="1:3">
      <c r="A991">
        <v>3213</v>
      </c>
      <c r="B991" t="s">
        <v>1493</v>
      </c>
      <c r="C991">
        <v>39.75</v>
      </c>
    </row>
    <row r="992" spans="1:3">
      <c r="A992">
        <v>3217</v>
      </c>
      <c r="B992" t="s">
        <v>1494</v>
      </c>
      <c r="C992">
        <v>12.75</v>
      </c>
    </row>
    <row r="993" spans="1:3">
      <c r="A993">
        <v>3218</v>
      </c>
      <c r="B993" t="s">
        <v>303</v>
      </c>
      <c r="C993">
        <v>24.5</v>
      </c>
    </row>
    <row r="994" spans="1:3">
      <c r="A994">
        <v>3219</v>
      </c>
      <c r="B994" t="s">
        <v>1495</v>
      </c>
      <c r="C994">
        <v>10.3</v>
      </c>
    </row>
    <row r="995" spans="1:3">
      <c r="A995">
        <v>3221</v>
      </c>
      <c r="B995" t="s">
        <v>1496</v>
      </c>
      <c r="C995">
        <v>17</v>
      </c>
    </row>
    <row r="996" spans="1:3">
      <c r="A996">
        <v>3224</v>
      </c>
      <c r="B996" t="s">
        <v>1497</v>
      </c>
      <c r="C996">
        <v>32.049999999999997</v>
      </c>
    </row>
    <row r="997" spans="1:3">
      <c r="A997">
        <v>3226</v>
      </c>
      <c r="B997" t="s">
        <v>304</v>
      </c>
      <c r="C997">
        <v>53.1</v>
      </c>
    </row>
    <row r="998" spans="1:3">
      <c r="A998">
        <v>3227</v>
      </c>
      <c r="B998" t="s">
        <v>305</v>
      </c>
      <c r="C998">
        <v>72.2</v>
      </c>
    </row>
    <row r="999" spans="1:3">
      <c r="A999">
        <v>3228</v>
      </c>
      <c r="B999" t="s">
        <v>306</v>
      </c>
      <c r="C999">
        <v>22.5</v>
      </c>
    </row>
    <row r="1000" spans="1:3">
      <c r="A1000">
        <v>3230</v>
      </c>
      <c r="B1000" t="s">
        <v>1498</v>
      </c>
      <c r="C1000">
        <v>6.48</v>
      </c>
    </row>
    <row r="1001" spans="1:3">
      <c r="A1001">
        <v>3232</v>
      </c>
      <c r="B1001" t="s">
        <v>307</v>
      </c>
      <c r="C1001">
        <v>30.6</v>
      </c>
    </row>
    <row r="1002" spans="1:3">
      <c r="A1002">
        <v>3234</v>
      </c>
      <c r="B1002" t="s">
        <v>308</v>
      </c>
      <c r="C1002">
        <v>113</v>
      </c>
    </row>
    <row r="1003" spans="1:3">
      <c r="A1003">
        <v>3236</v>
      </c>
      <c r="B1003" t="s">
        <v>309</v>
      </c>
      <c r="C1003">
        <v>13.55</v>
      </c>
    </row>
    <row r="1004" spans="1:3">
      <c r="A1004">
        <v>3252</v>
      </c>
      <c r="B1004" t="s">
        <v>310</v>
      </c>
      <c r="C1004">
        <v>20.5</v>
      </c>
    </row>
    <row r="1005" spans="1:3">
      <c r="A1005">
        <v>3259</v>
      </c>
      <c r="B1005" t="s">
        <v>1499</v>
      </c>
      <c r="C1005">
        <v>27.85</v>
      </c>
    </row>
    <row r="1006" spans="1:3">
      <c r="A1006">
        <v>3260</v>
      </c>
      <c r="B1006" t="s">
        <v>1500</v>
      </c>
      <c r="C1006">
        <v>31.7</v>
      </c>
    </row>
    <row r="1007" spans="1:3">
      <c r="A1007">
        <v>3264</v>
      </c>
      <c r="B1007" t="s">
        <v>1501</v>
      </c>
      <c r="C1007">
        <v>23.3</v>
      </c>
    </row>
    <row r="1008" spans="1:3">
      <c r="A1008">
        <v>3265</v>
      </c>
      <c r="B1008" t="s">
        <v>311</v>
      </c>
      <c r="C1008">
        <v>25.2</v>
      </c>
    </row>
    <row r="1009" spans="1:3">
      <c r="A1009">
        <v>3268</v>
      </c>
      <c r="B1009" t="s">
        <v>312</v>
      </c>
      <c r="C1009">
        <v>14.95</v>
      </c>
    </row>
    <row r="1010" spans="1:3">
      <c r="A1010">
        <v>3272</v>
      </c>
      <c r="B1010" t="s">
        <v>313</v>
      </c>
      <c r="C1010">
        <v>63</v>
      </c>
    </row>
    <row r="1011" spans="1:3">
      <c r="A1011">
        <v>3276</v>
      </c>
      <c r="B1011" t="s">
        <v>1502</v>
      </c>
      <c r="C1011">
        <v>9.7899999999999991</v>
      </c>
    </row>
    <row r="1012" spans="1:3">
      <c r="A1012">
        <v>3284</v>
      </c>
      <c r="B1012" t="s">
        <v>314</v>
      </c>
      <c r="C1012">
        <v>9.86</v>
      </c>
    </row>
    <row r="1013" spans="1:3">
      <c r="A1013">
        <v>3285</v>
      </c>
      <c r="B1013" t="s">
        <v>315</v>
      </c>
      <c r="C1013">
        <v>32.200000000000003</v>
      </c>
    </row>
    <row r="1014" spans="1:3">
      <c r="A1014">
        <v>3287</v>
      </c>
      <c r="B1014" t="s">
        <v>1503</v>
      </c>
      <c r="C1014">
        <v>9.25</v>
      </c>
    </row>
    <row r="1015" spans="1:3">
      <c r="A1015">
        <v>3288</v>
      </c>
      <c r="B1015" t="s">
        <v>1504</v>
      </c>
      <c r="C1015">
        <v>7.85</v>
      </c>
    </row>
    <row r="1016" spans="1:3">
      <c r="A1016">
        <v>3289</v>
      </c>
      <c r="B1016" t="s">
        <v>1505</v>
      </c>
      <c r="C1016">
        <v>85.4</v>
      </c>
    </row>
    <row r="1017" spans="1:3">
      <c r="A1017">
        <v>3290</v>
      </c>
      <c r="B1017" t="s">
        <v>1506</v>
      </c>
      <c r="C1017">
        <v>15</v>
      </c>
    </row>
    <row r="1018" spans="1:3">
      <c r="A1018">
        <v>3291</v>
      </c>
      <c r="B1018" t="s">
        <v>316</v>
      </c>
      <c r="C1018">
        <v>17</v>
      </c>
    </row>
    <row r="1019" spans="1:3">
      <c r="A1019">
        <v>3293</v>
      </c>
      <c r="B1019" t="s">
        <v>1507</v>
      </c>
      <c r="C1019">
        <v>81.5</v>
      </c>
    </row>
    <row r="1020" spans="1:3">
      <c r="A1020">
        <v>3294</v>
      </c>
      <c r="B1020" t="s">
        <v>317</v>
      </c>
      <c r="C1020">
        <v>17.2</v>
      </c>
    </row>
    <row r="1021" spans="1:3">
      <c r="A1021">
        <v>3297</v>
      </c>
      <c r="B1021" t="s">
        <v>318</v>
      </c>
      <c r="C1021">
        <v>18.899999999999999</v>
      </c>
    </row>
    <row r="1022" spans="1:3">
      <c r="A1022">
        <v>3299</v>
      </c>
      <c r="B1022" t="s">
        <v>319</v>
      </c>
      <c r="C1022">
        <v>50.4</v>
      </c>
    </row>
    <row r="1023" spans="1:3">
      <c r="A1023">
        <v>3303</v>
      </c>
      <c r="B1023" t="s">
        <v>320</v>
      </c>
      <c r="C1023">
        <v>17.7</v>
      </c>
    </row>
    <row r="1024" spans="1:3">
      <c r="A1024">
        <v>3306</v>
      </c>
      <c r="B1024" t="s">
        <v>1508</v>
      </c>
      <c r="C1024">
        <v>25.8</v>
      </c>
    </row>
    <row r="1025" spans="1:3">
      <c r="A1025">
        <v>3310</v>
      </c>
      <c r="B1025" t="s">
        <v>1509</v>
      </c>
      <c r="C1025">
        <v>13.2</v>
      </c>
    </row>
    <row r="1026" spans="1:3">
      <c r="A1026">
        <v>3313</v>
      </c>
      <c r="B1026" t="s">
        <v>321</v>
      </c>
      <c r="C1026">
        <v>8</v>
      </c>
    </row>
    <row r="1027" spans="1:3">
      <c r="A1027">
        <v>3317</v>
      </c>
      <c r="B1027" t="s">
        <v>1510</v>
      </c>
      <c r="C1027">
        <v>11.7</v>
      </c>
    </row>
    <row r="1028" spans="1:3">
      <c r="A1028">
        <v>3322</v>
      </c>
      <c r="B1028" t="s">
        <v>1511</v>
      </c>
      <c r="C1028">
        <v>10.8</v>
      </c>
    </row>
    <row r="1029" spans="1:3">
      <c r="A1029">
        <v>3323</v>
      </c>
      <c r="B1029" t="s">
        <v>322</v>
      </c>
      <c r="C1029">
        <v>18.3</v>
      </c>
    </row>
    <row r="1030" spans="1:3">
      <c r="A1030">
        <v>3324</v>
      </c>
      <c r="B1030" t="s">
        <v>1512</v>
      </c>
      <c r="C1030">
        <v>24.1</v>
      </c>
    </row>
    <row r="1031" spans="1:3">
      <c r="A1031">
        <v>3325</v>
      </c>
      <c r="B1031" t="s">
        <v>1513</v>
      </c>
      <c r="C1031">
        <v>14.9</v>
      </c>
    </row>
    <row r="1032" spans="1:3">
      <c r="A1032">
        <v>3332</v>
      </c>
      <c r="B1032" t="s">
        <v>323</v>
      </c>
      <c r="C1032">
        <v>0</v>
      </c>
    </row>
    <row r="1033" spans="1:3">
      <c r="A1033">
        <v>3339</v>
      </c>
      <c r="B1033" t="s">
        <v>1514</v>
      </c>
      <c r="C1033">
        <v>4.2</v>
      </c>
    </row>
    <row r="1034" spans="1:3">
      <c r="A1034">
        <v>3354</v>
      </c>
      <c r="B1034" t="s">
        <v>1515</v>
      </c>
      <c r="C1034">
        <v>7.72</v>
      </c>
    </row>
    <row r="1035" spans="1:3">
      <c r="A1035">
        <v>3360</v>
      </c>
      <c r="B1035" t="s">
        <v>324</v>
      </c>
      <c r="C1035">
        <v>12.6</v>
      </c>
    </row>
    <row r="1036" spans="1:3">
      <c r="A1036">
        <v>3362</v>
      </c>
      <c r="B1036" t="s">
        <v>1516</v>
      </c>
      <c r="C1036">
        <v>15.2</v>
      </c>
    </row>
    <row r="1037" spans="1:3">
      <c r="A1037">
        <v>3363</v>
      </c>
      <c r="B1037" t="s">
        <v>325</v>
      </c>
      <c r="C1037">
        <v>25</v>
      </c>
    </row>
    <row r="1038" spans="1:3">
      <c r="A1038">
        <v>3372</v>
      </c>
      <c r="B1038" t="s">
        <v>326</v>
      </c>
      <c r="C1038">
        <v>7.3</v>
      </c>
    </row>
    <row r="1039" spans="1:3">
      <c r="A1039">
        <v>3373</v>
      </c>
      <c r="B1039" t="s">
        <v>327</v>
      </c>
      <c r="C1039">
        <v>24.6</v>
      </c>
    </row>
    <row r="1040" spans="1:3">
      <c r="A1040">
        <v>3374</v>
      </c>
      <c r="B1040" t="s">
        <v>328</v>
      </c>
      <c r="C1040">
        <v>37.299999999999997</v>
      </c>
    </row>
    <row r="1041" spans="1:3">
      <c r="A1041">
        <v>3379</v>
      </c>
      <c r="B1041" t="s">
        <v>1517</v>
      </c>
      <c r="C1041">
        <v>15.75</v>
      </c>
    </row>
    <row r="1042" spans="1:3">
      <c r="A1042">
        <v>3388</v>
      </c>
      <c r="B1042" t="s">
        <v>329</v>
      </c>
      <c r="C1042">
        <v>62</v>
      </c>
    </row>
    <row r="1043" spans="1:3">
      <c r="A1043">
        <v>3390</v>
      </c>
      <c r="B1043" t="s">
        <v>1518</v>
      </c>
      <c r="C1043">
        <v>16.2</v>
      </c>
    </row>
    <row r="1044" spans="1:3">
      <c r="A1044">
        <v>3402</v>
      </c>
      <c r="B1044" t="s">
        <v>1519</v>
      </c>
      <c r="C1044">
        <v>14.15</v>
      </c>
    </row>
    <row r="1045" spans="1:3">
      <c r="A1045">
        <v>3428</v>
      </c>
      <c r="B1045" t="s">
        <v>330</v>
      </c>
      <c r="C1045">
        <v>45.3</v>
      </c>
    </row>
    <row r="1046" spans="1:3">
      <c r="A1046">
        <v>3431</v>
      </c>
      <c r="B1046" t="s">
        <v>1520</v>
      </c>
      <c r="C1046">
        <v>9.4</v>
      </c>
    </row>
    <row r="1047" spans="1:3">
      <c r="A1047">
        <v>3438</v>
      </c>
      <c r="B1047" t="s">
        <v>1521</v>
      </c>
      <c r="C1047">
        <v>17.899999999999999</v>
      </c>
    </row>
    <row r="1048" spans="1:3">
      <c r="A1048">
        <v>3441</v>
      </c>
      <c r="B1048" t="s">
        <v>1522</v>
      </c>
      <c r="C1048">
        <v>11.65</v>
      </c>
    </row>
    <row r="1049" spans="1:3">
      <c r="A1049">
        <v>3444</v>
      </c>
      <c r="B1049" t="s">
        <v>1523</v>
      </c>
      <c r="C1049">
        <v>16.600000000000001</v>
      </c>
    </row>
    <row r="1050" spans="1:3">
      <c r="A1050">
        <v>3452</v>
      </c>
      <c r="B1050" t="s">
        <v>1524</v>
      </c>
      <c r="C1050">
        <v>11.25</v>
      </c>
    </row>
    <row r="1051" spans="1:3">
      <c r="A1051">
        <v>3455</v>
      </c>
      <c r="B1051" t="s">
        <v>332</v>
      </c>
      <c r="C1051">
        <v>27.7</v>
      </c>
    </row>
    <row r="1052" spans="1:3">
      <c r="A1052">
        <v>3465</v>
      </c>
      <c r="B1052" t="s">
        <v>1525</v>
      </c>
      <c r="C1052">
        <v>0</v>
      </c>
    </row>
    <row r="1053" spans="1:3">
      <c r="A1053">
        <v>3466</v>
      </c>
      <c r="B1053" t="s">
        <v>333</v>
      </c>
      <c r="C1053">
        <v>25.25</v>
      </c>
    </row>
    <row r="1054" spans="1:3">
      <c r="A1054">
        <v>3479</v>
      </c>
      <c r="B1054" t="s">
        <v>1526</v>
      </c>
      <c r="C1054">
        <v>46.75</v>
      </c>
    </row>
    <row r="1055" spans="1:3">
      <c r="A1055">
        <v>3483</v>
      </c>
      <c r="B1055" t="s">
        <v>334</v>
      </c>
      <c r="C1055">
        <v>11.65</v>
      </c>
    </row>
    <row r="1056" spans="1:3">
      <c r="A1056">
        <v>3484</v>
      </c>
      <c r="B1056" t="s">
        <v>335</v>
      </c>
      <c r="C1056">
        <v>35.85</v>
      </c>
    </row>
    <row r="1057" spans="1:3">
      <c r="A1057">
        <v>3489</v>
      </c>
      <c r="B1057" t="s">
        <v>336</v>
      </c>
      <c r="C1057">
        <v>10.3</v>
      </c>
    </row>
    <row r="1058" spans="1:3">
      <c r="A1058">
        <v>3490</v>
      </c>
      <c r="B1058" t="s">
        <v>337</v>
      </c>
      <c r="C1058">
        <v>81.7</v>
      </c>
    </row>
    <row r="1059" spans="1:3">
      <c r="A1059">
        <v>3491</v>
      </c>
      <c r="B1059" t="s">
        <v>1527</v>
      </c>
      <c r="C1059">
        <v>73.3</v>
      </c>
    </row>
    <row r="1060" spans="1:3">
      <c r="A1060">
        <v>3492</v>
      </c>
      <c r="B1060" t="s">
        <v>1528</v>
      </c>
      <c r="C1060">
        <v>32</v>
      </c>
    </row>
    <row r="1061" spans="1:3">
      <c r="A1061">
        <v>3498</v>
      </c>
      <c r="B1061" t="s">
        <v>1529</v>
      </c>
      <c r="C1061">
        <v>72.900000000000006</v>
      </c>
    </row>
    <row r="1062" spans="1:3">
      <c r="A1062">
        <v>3499</v>
      </c>
      <c r="B1062" t="s">
        <v>338</v>
      </c>
      <c r="C1062">
        <v>25.6</v>
      </c>
    </row>
    <row r="1063" spans="1:3">
      <c r="A1063">
        <v>3508</v>
      </c>
      <c r="B1063" t="s">
        <v>339</v>
      </c>
      <c r="C1063">
        <v>14.9</v>
      </c>
    </row>
    <row r="1064" spans="1:3">
      <c r="A1064">
        <v>3511</v>
      </c>
      <c r="B1064" t="s">
        <v>1530</v>
      </c>
      <c r="C1064">
        <v>33.5</v>
      </c>
    </row>
    <row r="1065" spans="1:3">
      <c r="A1065">
        <v>3512</v>
      </c>
      <c r="B1065" t="s">
        <v>1531</v>
      </c>
      <c r="C1065">
        <v>35.5</v>
      </c>
    </row>
    <row r="1066" spans="1:3">
      <c r="A1066">
        <v>3516</v>
      </c>
      <c r="B1066" t="s">
        <v>340</v>
      </c>
      <c r="C1066">
        <v>9.01</v>
      </c>
    </row>
    <row r="1067" spans="1:3">
      <c r="A1067">
        <v>3520</v>
      </c>
      <c r="B1067" t="s">
        <v>1532</v>
      </c>
      <c r="C1067">
        <v>79.2</v>
      </c>
    </row>
    <row r="1068" spans="1:3">
      <c r="A1068">
        <v>3521</v>
      </c>
      <c r="B1068" t="s">
        <v>1533</v>
      </c>
      <c r="C1068">
        <v>15.85</v>
      </c>
    </row>
    <row r="1069" spans="1:3">
      <c r="A1069">
        <v>3522</v>
      </c>
      <c r="B1069" t="s">
        <v>341</v>
      </c>
      <c r="C1069">
        <v>10.5</v>
      </c>
    </row>
    <row r="1070" spans="1:3">
      <c r="A1070">
        <v>3523</v>
      </c>
      <c r="B1070" t="s">
        <v>1534</v>
      </c>
      <c r="C1070">
        <v>23</v>
      </c>
    </row>
    <row r="1071" spans="1:3">
      <c r="A1071">
        <v>3526</v>
      </c>
      <c r="B1071" t="s">
        <v>1535</v>
      </c>
      <c r="C1071">
        <v>22.05</v>
      </c>
    </row>
    <row r="1072" spans="1:3">
      <c r="A1072">
        <v>3527</v>
      </c>
      <c r="B1072" t="s">
        <v>342</v>
      </c>
      <c r="C1072">
        <v>44</v>
      </c>
    </row>
    <row r="1073" spans="1:3">
      <c r="A1073">
        <v>3528</v>
      </c>
      <c r="B1073" t="s">
        <v>1536</v>
      </c>
      <c r="C1073">
        <v>30.8</v>
      </c>
    </row>
    <row r="1074" spans="1:3">
      <c r="A1074">
        <v>3529</v>
      </c>
      <c r="B1074" t="s">
        <v>343</v>
      </c>
      <c r="C1074">
        <v>342</v>
      </c>
    </row>
    <row r="1075" spans="1:3">
      <c r="A1075">
        <v>3531</v>
      </c>
      <c r="B1075" t="s">
        <v>1537</v>
      </c>
      <c r="C1075">
        <v>15.4</v>
      </c>
    </row>
    <row r="1076" spans="1:3">
      <c r="A1076">
        <v>3537</v>
      </c>
      <c r="B1076" t="s">
        <v>344</v>
      </c>
      <c r="C1076">
        <v>18.899999999999999</v>
      </c>
    </row>
    <row r="1077" spans="1:3">
      <c r="A1077">
        <v>3540</v>
      </c>
      <c r="B1077" t="s">
        <v>1538</v>
      </c>
      <c r="C1077">
        <v>13.05</v>
      </c>
    </row>
    <row r="1078" spans="1:3">
      <c r="A1078">
        <v>3541</v>
      </c>
      <c r="B1078" t="s">
        <v>1539</v>
      </c>
      <c r="C1078">
        <v>71.599999999999994</v>
      </c>
    </row>
    <row r="1079" spans="1:3">
      <c r="A1079">
        <v>3546</v>
      </c>
      <c r="B1079" t="s">
        <v>1540</v>
      </c>
      <c r="C1079">
        <v>31.5</v>
      </c>
    </row>
    <row r="1080" spans="1:3">
      <c r="A1080">
        <v>3548</v>
      </c>
      <c r="B1080" t="s">
        <v>345</v>
      </c>
      <c r="C1080">
        <v>36.5</v>
      </c>
    </row>
    <row r="1081" spans="1:3">
      <c r="A1081">
        <v>3551</v>
      </c>
      <c r="B1081" t="s">
        <v>346</v>
      </c>
      <c r="C1081">
        <v>33.9</v>
      </c>
    </row>
    <row r="1082" spans="1:3">
      <c r="A1082">
        <v>3552</v>
      </c>
      <c r="B1082" t="s">
        <v>1541</v>
      </c>
      <c r="C1082">
        <v>277</v>
      </c>
    </row>
    <row r="1083" spans="1:3">
      <c r="A1083">
        <v>3553</v>
      </c>
      <c r="B1083" t="s">
        <v>347</v>
      </c>
      <c r="C1083">
        <v>14</v>
      </c>
    </row>
    <row r="1084" spans="1:3">
      <c r="A1084">
        <v>3555</v>
      </c>
      <c r="B1084" t="s">
        <v>1542</v>
      </c>
      <c r="C1084">
        <v>10</v>
      </c>
    </row>
    <row r="1085" spans="1:3">
      <c r="A1085">
        <v>3556</v>
      </c>
      <c r="B1085" t="s">
        <v>348</v>
      </c>
      <c r="C1085">
        <v>59.5</v>
      </c>
    </row>
    <row r="1086" spans="1:3">
      <c r="A1086">
        <v>3558</v>
      </c>
      <c r="B1086" t="s">
        <v>349</v>
      </c>
      <c r="C1086">
        <v>233</v>
      </c>
    </row>
    <row r="1087" spans="1:3">
      <c r="A1087">
        <v>3562</v>
      </c>
      <c r="B1087" t="s">
        <v>350</v>
      </c>
      <c r="C1087">
        <v>3.55</v>
      </c>
    </row>
    <row r="1088" spans="1:3">
      <c r="A1088">
        <v>3563</v>
      </c>
      <c r="B1088" t="s">
        <v>351</v>
      </c>
      <c r="C1088">
        <v>44</v>
      </c>
    </row>
    <row r="1089" spans="1:3">
      <c r="A1089">
        <v>3564</v>
      </c>
      <c r="B1089" t="s">
        <v>1543</v>
      </c>
      <c r="C1089">
        <v>70.3</v>
      </c>
    </row>
    <row r="1090" spans="1:3">
      <c r="A1090">
        <v>3567</v>
      </c>
      <c r="B1090" t="s">
        <v>1544</v>
      </c>
      <c r="C1090">
        <v>11.8</v>
      </c>
    </row>
    <row r="1091" spans="1:3">
      <c r="A1091">
        <v>3570</v>
      </c>
      <c r="B1091" t="s">
        <v>1545</v>
      </c>
      <c r="C1091">
        <v>86</v>
      </c>
    </row>
    <row r="1092" spans="1:3">
      <c r="A1092">
        <v>3577</v>
      </c>
      <c r="B1092" t="s">
        <v>1546</v>
      </c>
      <c r="C1092">
        <v>31.9</v>
      </c>
    </row>
    <row r="1093" spans="1:3">
      <c r="A1093">
        <v>3580</v>
      </c>
      <c r="B1093" t="s">
        <v>1547</v>
      </c>
      <c r="C1093">
        <v>5.83</v>
      </c>
    </row>
    <row r="1094" spans="1:3">
      <c r="A1094">
        <v>3581</v>
      </c>
      <c r="B1094" t="s">
        <v>1548</v>
      </c>
      <c r="C1094">
        <v>15.9</v>
      </c>
    </row>
    <row r="1095" spans="1:3">
      <c r="A1095">
        <v>3587</v>
      </c>
      <c r="B1095" t="s">
        <v>1549</v>
      </c>
      <c r="C1095">
        <v>56</v>
      </c>
    </row>
    <row r="1096" spans="1:3">
      <c r="A1096">
        <v>3594</v>
      </c>
      <c r="B1096" t="s">
        <v>352</v>
      </c>
      <c r="C1096">
        <v>30.25</v>
      </c>
    </row>
    <row r="1097" spans="1:3">
      <c r="A1097">
        <v>3609</v>
      </c>
      <c r="B1097" t="s">
        <v>353</v>
      </c>
      <c r="C1097">
        <v>12.9</v>
      </c>
    </row>
    <row r="1098" spans="1:3">
      <c r="A1098">
        <v>3611</v>
      </c>
      <c r="B1098" t="s">
        <v>354</v>
      </c>
      <c r="C1098">
        <v>300</v>
      </c>
    </row>
    <row r="1099" spans="1:3">
      <c r="A1099">
        <v>3615</v>
      </c>
      <c r="B1099" t="s">
        <v>1550</v>
      </c>
      <c r="C1099">
        <v>17.850000000000001</v>
      </c>
    </row>
    <row r="1100" spans="1:3">
      <c r="A1100">
        <v>3623</v>
      </c>
      <c r="B1100" t="s">
        <v>355</v>
      </c>
      <c r="C1100">
        <v>37.25</v>
      </c>
    </row>
    <row r="1101" spans="1:3">
      <c r="A1101">
        <v>3624</v>
      </c>
      <c r="B1101" t="s">
        <v>356</v>
      </c>
      <c r="C1101">
        <v>22.85</v>
      </c>
    </row>
    <row r="1102" spans="1:3">
      <c r="A1102">
        <v>3625</v>
      </c>
      <c r="B1102" t="s">
        <v>357</v>
      </c>
      <c r="C1102">
        <v>10.5</v>
      </c>
    </row>
    <row r="1103" spans="1:3">
      <c r="A1103">
        <v>3628</v>
      </c>
      <c r="B1103" t="s">
        <v>1551</v>
      </c>
      <c r="C1103">
        <v>48.5</v>
      </c>
    </row>
    <row r="1104" spans="1:3">
      <c r="A1104">
        <v>3629</v>
      </c>
      <c r="B1104" t="s">
        <v>1552</v>
      </c>
      <c r="C1104">
        <v>8.51</v>
      </c>
    </row>
    <row r="1105" spans="1:3">
      <c r="A1105">
        <v>3630</v>
      </c>
      <c r="B1105" t="s">
        <v>358</v>
      </c>
      <c r="C1105">
        <v>17.3</v>
      </c>
    </row>
    <row r="1106" spans="1:3">
      <c r="A1106">
        <v>3631</v>
      </c>
      <c r="B1106" t="s">
        <v>359</v>
      </c>
      <c r="C1106">
        <v>24.5</v>
      </c>
    </row>
    <row r="1107" spans="1:3">
      <c r="A1107">
        <v>3632</v>
      </c>
      <c r="B1107" t="s">
        <v>1553</v>
      </c>
      <c r="C1107">
        <v>24.4</v>
      </c>
    </row>
    <row r="1108" spans="1:3">
      <c r="A1108">
        <v>3642</v>
      </c>
      <c r="B1108" t="s">
        <v>1554</v>
      </c>
      <c r="C1108">
        <v>16.5</v>
      </c>
    </row>
    <row r="1109" spans="1:3">
      <c r="A1109">
        <v>3646</v>
      </c>
      <c r="B1109" t="s">
        <v>1555</v>
      </c>
      <c r="C1109">
        <v>12.7</v>
      </c>
    </row>
    <row r="1110" spans="1:3">
      <c r="A1110">
        <v>3652</v>
      </c>
      <c r="B1110" t="s">
        <v>360</v>
      </c>
      <c r="C1110">
        <v>0</v>
      </c>
    </row>
    <row r="1111" spans="1:3">
      <c r="A1111">
        <v>3658</v>
      </c>
      <c r="B1111" t="s">
        <v>361</v>
      </c>
      <c r="C1111">
        <v>1325</v>
      </c>
    </row>
    <row r="1112" spans="1:3">
      <c r="A1112">
        <v>3662</v>
      </c>
      <c r="B1112" t="s">
        <v>1556</v>
      </c>
      <c r="C1112">
        <v>87.3</v>
      </c>
    </row>
    <row r="1113" spans="1:3">
      <c r="A1113">
        <v>3663</v>
      </c>
      <c r="B1113" t="s">
        <v>1557</v>
      </c>
      <c r="C1113">
        <v>16.100000000000001</v>
      </c>
    </row>
    <row r="1114" spans="1:3">
      <c r="A1114">
        <v>3664</v>
      </c>
      <c r="B1114" t="s">
        <v>1558</v>
      </c>
      <c r="C1114">
        <v>15.5</v>
      </c>
    </row>
    <row r="1115" spans="1:3">
      <c r="A1115">
        <v>3666</v>
      </c>
      <c r="B1115" t="s">
        <v>362</v>
      </c>
      <c r="C1115">
        <v>22</v>
      </c>
    </row>
    <row r="1116" spans="1:3">
      <c r="A1116">
        <v>3672</v>
      </c>
      <c r="B1116" t="s">
        <v>363</v>
      </c>
      <c r="C1116">
        <v>37.9</v>
      </c>
    </row>
    <row r="1117" spans="1:3">
      <c r="A1117">
        <v>3675</v>
      </c>
      <c r="B1117" t="s">
        <v>1559</v>
      </c>
      <c r="C1117">
        <v>23.2</v>
      </c>
    </row>
    <row r="1118" spans="1:3">
      <c r="A1118">
        <v>3680</v>
      </c>
      <c r="B1118" t="s">
        <v>1560</v>
      </c>
      <c r="C1118">
        <v>29.1</v>
      </c>
    </row>
    <row r="1119" spans="1:3">
      <c r="A1119">
        <v>3684</v>
      </c>
      <c r="B1119" t="s">
        <v>1561</v>
      </c>
      <c r="C1119">
        <v>62.9</v>
      </c>
    </row>
    <row r="1120" spans="1:3">
      <c r="A1120">
        <v>3685</v>
      </c>
      <c r="B1120" t="s">
        <v>1562</v>
      </c>
      <c r="C1120">
        <v>43.3</v>
      </c>
    </row>
    <row r="1121" spans="1:3">
      <c r="A1121">
        <v>3687</v>
      </c>
      <c r="B1121" t="s">
        <v>364</v>
      </c>
      <c r="C1121">
        <v>70.5</v>
      </c>
    </row>
    <row r="1122" spans="1:3">
      <c r="A1122">
        <v>3689</v>
      </c>
      <c r="B1122" t="s">
        <v>1563</v>
      </c>
      <c r="C1122">
        <v>36</v>
      </c>
    </row>
    <row r="1123" spans="1:3">
      <c r="A1123">
        <v>3691</v>
      </c>
      <c r="B1123" t="s">
        <v>1564</v>
      </c>
      <c r="C1123">
        <v>617</v>
      </c>
    </row>
    <row r="1124" spans="1:3">
      <c r="A1124">
        <v>3693</v>
      </c>
      <c r="B1124" t="s">
        <v>365</v>
      </c>
      <c r="C1124">
        <v>118.5</v>
      </c>
    </row>
    <row r="1125" spans="1:3">
      <c r="A1125">
        <v>3707</v>
      </c>
      <c r="B1125" t="s">
        <v>366</v>
      </c>
      <c r="C1125">
        <v>9.34</v>
      </c>
    </row>
    <row r="1126" spans="1:3">
      <c r="A1126">
        <v>4102</v>
      </c>
      <c r="B1126" t="s">
        <v>1565</v>
      </c>
      <c r="C1126">
        <v>19.350000000000001</v>
      </c>
    </row>
    <row r="1127" spans="1:3">
      <c r="A1127">
        <v>4103</v>
      </c>
      <c r="B1127" t="s">
        <v>1566</v>
      </c>
      <c r="C1127">
        <v>83</v>
      </c>
    </row>
    <row r="1128" spans="1:3">
      <c r="A1128">
        <v>4105</v>
      </c>
      <c r="B1128" t="s">
        <v>1567</v>
      </c>
      <c r="C1128">
        <v>87</v>
      </c>
    </row>
    <row r="1129" spans="1:3">
      <c r="A1129">
        <v>4107</v>
      </c>
      <c r="B1129" t="s">
        <v>1568</v>
      </c>
      <c r="C1129">
        <v>125.5</v>
      </c>
    </row>
    <row r="1130" spans="1:3">
      <c r="A1130">
        <v>4109</v>
      </c>
      <c r="B1130" t="s">
        <v>1569</v>
      </c>
      <c r="C1130">
        <v>23.6</v>
      </c>
    </row>
    <row r="1131" spans="1:3">
      <c r="A1131">
        <v>4111</v>
      </c>
      <c r="B1131" t="s">
        <v>1570</v>
      </c>
      <c r="C1131">
        <v>21.55</v>
      </c>
    </row>
    <row r="1132" spans="1:3">
      <c r="A1132">
        <v>4113</v>
      </c>
      <c r="B1132" t="s">
        <v>367</v>
      </c>
      <c r="C1132">
        <v>10.25</v>
      </c>
    </row>
    <row r="1133" spans="1:3">
      <c r="A1133">
        <v>4114</v>
      </c>
      <c r="B1133" t="s">
        <v>1571</v>
      </c>
      <c r="C1133">
        <v>33.299999999999997</v>
      </c>
    </row>
    <row r="1134" spans="1:3">
      <c r="A1134">
        <v>4120</v>
      </c>
      <c r="B1134" t="s">
        <v>368</v>
      </c>
      <c r="C1134">
        <v>55.2</v>
      </c>
    </row>
    <row r="1135" spans="1:3">
      <c r="A1135">
        <v>4121</v>
      </c>
      <c r="B1135" t="s">
        <v>1572</v>
      </c>
      <c r="C1135">
        <v>11</v>
      </c>
    </row>
    <row r="1136" spans="1:3">
      <c r="A1136">
        <v>4123</v>
      </c>
      <c r="B1136" t="s">
        <v>1573</v>
      </c>
      <c r="C1136">
        <v>67.599999999999994</v>
      </c>
    </row>
    <row r="1137" spans="1:3">
      <c r="A1137">
        <v>4126</v>
      </c>
      <c r="B1137" t="s">
        <v>369</v>
      </c>
      <c r="C1137">
        <v>68.7</v>
      </c>
    </row>
    <row r="1138" spans="1:3">
      <c r="A1138">
        <v>4127</v>
      </c>
      <c r="B1138" t="s">
        <v>1574</v>
      </c>
      <c r="C1138">
        <v>23.05</v>
      </c>
    </row>
    <row r="1139" spans="1:3">
      <c r="A1139">
        <v>4128</v>
      </c>
      <c r="B1139" t="s">
        <v>1575</v>
      </c>
      <c r="C1139">
        <v>26</v>
      </c>
    </row>
    <row r="1140" spans="1:3">
      <c r="A1140">
        <v>4129</v>
      </c>
      <c r="B1140" t="s">
        <v>1576</v>
      </c>
      <c r="C1140">
        <v>75</v>
      </c>
    </row>
    <row r="1141" spans="1:3">
      <c r="A1141">
        <v>4130</v>
      </c>
      <c r="B1141" t="s">
        <v>370</v>
      </c>
      <c r="C1141">
        <v>43.2</v>
      </c>
    </row>
    <row r="1142" spans="1:3">
      <c r="A1142">
        <v>4131</v>
      </c>
      <c r="B1142" t="s">
        <v>1577</v>
      </c>
      <c r="C1142">
        <v>8</v>
      </c>
    </row>
    <row r="1143" spans="1:3">
      <c r="A1143">
        <v>4138</v>
      </c>
      <c r="B1143" t="s">
        <v>1578</v>
      </c>
      <c r="C1143">
        <v>58.5</v>
      </c>
    </row>
    <row r="1144" spans="1:3">
      <c r="A1144">
        <v>4139</v>
      </c>
      <c r="B1144" t="s">
        <v>1579</v>
      </c>
      <c r="C1144">
        <v>74.5</v>
      </c>
    </row>
    <row r="1145" spans="1:3">
      <c r="A1145">
        <v>4152</v>
      </c>
      <c r="B1145" t="s">
        <v>371</v>
      </c>
      <c r="C1145">
        <v>129.5</v>
      </c>
    </row>
    <row r="1146" spans="1:3">
      <c r="A1146">
        <v>4153</v>
      </c>
      <c r="B1146" t="s">
        <v>372</v>
      </c>
      <c r="C1146">
        <v>78.5</v>
      </c>
    </row>
    <row r="1147" spans="1:3">
      <c r="A1147">
        <v>4154</v>
      </c>
      <c r="B1147" t="s">
        <v>1580</v>
      </c>
      <c r="C1147">
        <v>22.7</v>
      </c>
    </row>
    <row r="1148" spans="1:3">
      <c r="A1148">
        <v>4157</v>
      </c>
      <c r="B1148" t="s">
        <v>1581</v>
      </c>
      <c r="C1148">
        <v>26.6</v>
      </c>
    </row>
    <row r="1149" spans="1:3">
      <c r="A1149">
        <v>4160</v>
      </c>
      <c r="B1149" t="s">
        <v>1582</v>
      </c>
      <c r="C1149">
        <v>32.85</v>
      </c>
    </row>
    <row r="1150" spans="1:3">
      <c r="A1150">
        <v>4161</v>
      </c>
      <c r="B1150" t="s">
        <v>1583</v>
      </c>
      <c r="C1150">
        <v>67.099999999999994</v>
      </c>
    </row>
    <row r="1151" spans="1:3">
      <c r="A1151">
        <v>4162</v>
      </c>
      <c r="B1151" t="s">
        <v>373</v>
      </c>
      <c r="C1151">
        <v>193.5</v>
      </c>
    </row>
    <row r="1152" spans="1:3">
      <c r="A1152">
        <v>4163</v>
      </c>
      <c r="B1152" t="s">
        <v>1584</v>
      </c>
      <c r="C1152">
        <v>112</v>
      </c>
    </row>
    <row r="1153" spans="1:3">
      <c r="A1153">
        <v>4167</v>
      </c>
      <c r="B1153" t="s">
        <v>374</v>
      </c>
      <c r="C1153">
        <v>32.450000000000003</v>
      </c>
    </row>
    <row r="1154" spans="1:3">
      <c r="A1154">
        <v>4168</v>
      </c>
      <c r="B1154" t="s">
        <v>375</v>
      </c>
      <c r="C1154">
        <v>45.3</v>
      </c>
    </row>
    <row r="1155" spans="1:3">
      <c r="A1155">
        <v>4171</v>
      </c>
      <c r="B1155" t="s">
        <v>1585</v>
      </c>
      <c r="C1155">
        <v>37.700000000000003</v>
      </c>
    </row>
    <row r="1156" spans="1:3">
      <c r="A1156">
        <v>4173</v>
      </c>
      <c r="B1156" t="s">
        <v>376</v>
      </c>
      <c r="C1156">
        <v>27.4</v>
      </c>
    </row>
    <row r="1157" spans="1:3">
      <c r="A1157">
        <v>4174</v>
      </c>
      <c r="B1157" t="s">
        <v>377</v>
      </c>
      <c r="C1157">
        <v>426.5</v>
      </c>
    </row>
    <row r="1158" spans="1:3">
      <c r="A1158">
        <v>4175</v>
      </c>
      <c r="B1158" t="s">
        <v>378</v>
      </c>
      <c r="C1158">
        <v>74.099999999999994</v>
      </c>
    </row>
    <row r="1159" spans="1:3">
      <c r="A1159">
        <v>4180</v>
      </c>
      <c r="B1159" t="s">
        <v>1586</v>
      </c>
      <c r="C1159">
        <v>158</v>
      </c>
    </row>
    <row r="1160" spans="1:3">
      <c r="A1160">
        <v>4188</v>
      </c>
      <c r="B1160" t="s">
        <v>1587</v>
      </c>
      <c r="C1160">
        <v>33</v>
      </c>
    </row>
    <row r="1161" spans="1:3">
      <c r="A1161">
        <v>4192</v>
      </c>
      <c r="B1161" t="s">
        <v>1588</v>
      </c>
      <c r="C1161">
        <v>43.5</v>
      </c>
    </row>
    <row r="1162" spans="1:3">
      <c r="A1162">
        <v>4198</v>
      </c>
      <c r="B1162" t="s">
        <v>379</v>
      </c>
      <c r="C1162">
        <v>36.049999999999997</v>
      </c>
    </row>
    <row r="1163" spans="1:3">
      <c r="A1163">
        <v>4205</v>
      </c>
      <c r="B1163" t="s">
        <v>1589</v>
      </c>
      <c r="C1163">
        <v>38.1</v>
      </c>
    </row>
    <row r="1164" spans="1:3">
      <c r="A1164">
        <v>4207</v>
      </c>
      <c r="B1164" t="s">
        <v>1590</v>
      </c>
      <c r="C1164">
        <v>9.94</v>
      </c>
    </row>
    <row r="1165" spans="1:3">
      <c r="A1165">
        <v>4303</v>
      </c>
      <c r="B1165" t="s">
        <v>1591</v>
      </c>
      <c r="C1165">
        <v>12.85</v>
      </c>
    </row>
    <row r="1166" spans="1:3">
      <c r="A1166">
        <v>4304</v>
      </c>
      <c r="B1166" t="s">
        <v>380</v>
      </c>
      <c r="C1166">
        <v>0</v>
      </c>
    </row>
    <row r="1167" spans="1:3">
      <c r="A1167">
        <v>4305</v>
      </c>
      <c r="B1167" t="s">
        <v>1592</v>
      </c>
      <c r="C1167">
        <v>26.4</v>
      </c>
    </row>
    <row r="1168" spans="1:3">
      <c r="A1168">
        <v>4401</v>
      </c>
      <c r="B1168" t="s">
        <v>1593</v>
      </c>
      <c r="C1168">
        <v>98.8</v>
      </c>
    </row>
    <row r="1169" spans="1:3">
      <c r="A1169">
        <v>4402</v>
      </c>
      <c r="B1169" t="s">
        <v>381</v>
      </c>
      <c r="C1169">
        <v>5.58</v>
      </c>
    </row>
    <row r="1170" spans="1:3">
      <c r="A1170">
        <v>4406</v>
      </c>
      <c r="B1170" t="s">
        <v>1594</v>
      </c>
      <c r="C1170">
        <v>11.85</v>
      </c>
    </row>
    <row r="1171" spans="1:3">
      <c r="A1171">
        <v>4413</v>
      </c>
      <c r="B1171" t="s">
        <v>1595</v>
      </c>
      <c r="C1171">
        <v>0</v>
      </c>
    </row>
    <row r="1172" spans="1:3">
      <c r="A1172">
        <v>4415</v>
      </c>
      <c r="B1172" t="s">
        <v>1596</v>
      </c>
      <c r="C1172">
        <v>20.5</v>
      </c>
    </row>
    <row r="1173" spans="1:3">
      <c r="A1173">
        <v>4416</v>
      </c>
      <c r="B1173" t="s">
        <v>382</v>
      </c>
      <c r="C1173">
        <v>0</v>
      </c>
    </row>
    <row r="1174" spans="1:3">
      <c r="A1174">
        <v>4417</v>
      </c>
      <c r="B1174" t="s">
        <v>1597</v>
      </c>
      <c r="C1174">
        <v>36.25</v>
      </c>
    </row>
    <row r="1175" spans="1:3">
      <c r="A1175">
        <v>4419</v>
      </c>
      <c r="B1175" t="s">
        <v>1598</v>
      </c>
      <c r="C1175">
        <v>7.5</v>
      </c>
    </row>
    <row r="1176" spans="1:3">
      <c r="A1176">
        <v>4420</v>
      </c>
      <c r="B1176" t="s">
        <v>1599</v>
      </c>
      <c r="C1176">
        <v>55</v>
      </c>
    </row>
    <row r="1177" spans="1:3">
      <c r="A1177">
        <v>4429</v>
      </c>
      <c r="B1177" t="s">
        <v>383</v>
      </c>
      <c r="C1177">
        <v>23.6</v>
      </c>
    </row>
    <row r="1178" spans="1:3">
      <c r="A1178">
        <v>4430</v>
      </c>
      <c r="B1178" t="s">
        <v>1600</v>
      </c>
      <c r="C1178">
        <v>28.3</v>
      </c>
    </row>
    <row r="1179" spans="1:3">
      <c r="A1179">
        <v>4432</v>
      </c>
      <c r="B1179" t="s">
        <v>1601</v>
      </c>
      <c r="C1179">
        <v>78.400000000000006</v>
      </c>
    </row>
    <row r="1180" spans="1:3">
      <c r="A1180">
        <v>4433</v>
      </c>
      <c r="B1180" t="s">
        <v>1602</v>
      </c>
      <c r="C1180">
        <v>39.049999999999997</v>
      </c>
    </row>
    <row r="1181" spans="1:3">
      <c r="A1181">
        <v>4503</v>
      </c>
      <c r="B1181" t="s">
        <v>384</v>
      </c>
      <c r="C1181">
        <v>12.6</v>
      </c>
    </row>
    <row r="1182" spans="1:3">
      <c r="A1182">
        <v>4506</v>
      </c>
      <c r="B1182" t="s">
        <v>385</v>
      </c>
      <c r="C1182">
        <v>29.6</v>
      </c>
    </row>
    <row r="1183" spans="1:3">
      <c r="A1183">
        <v>4510</v>
      </c>
      <c r="B1183" t="s">
        <v>1604</v>
      </c>
      <c r="C1183">
        <v>16.600000000000001</v>
      </c>
    </row>
    <row r="1184" spans="1:3">
      <c r="A1184">
        <v>4513</v>
      </c>
      <c r="B1184" t="s">
        <v>1605</v>
      </c>
      <c r="C1184">
        <v>10.9</v>
      </c>
    </row>
    <row r="1185" spans="1:3">
      <c r="A1185">
        <v>4523</v>
      </c>
      <c r="B1185" t="s">
        <v>1606</v>
      </c>
      <c r="C1185">
        <v>19.149999999999999</v>
      </c>
    </row>
    <row r="1186" spans="1:3">
      <c r="A1186">
        <v>4527</v>
      </c>
      <c r="B1186" t="s">
        <v>1607</v>
      </c>
      <c r="C1186">
        <v>22.55</v>
      </c>
    </row>
    <row r="1187" spans="1:3">
      <c r="A1187">
        <v>4528</v>
      </c>
      <c r="B1187" t="s">
        <v>1608</v>
      </c>
      <c r="C1187">
        <v>65.099999999999994</v>
      </c>
    </row>
    <row r="1188" spans="1:3">
      <c r="A1188">
        <v>4529</v>
      </c>
      <c r="B1188" t="s">
        <v>1609</v>
      </c>
      <c r="C1188">
        <v>53.5</v>
      </c>
    </row>
    <row r="1189" spans="1:3">
      <c r="A1189">
        <v>4530</v>
      </c>
      <c r="B1189" t="s">
        <v>1610</v>
      </c>
      <c r="C1189">
        <v>3.85</v>
      </c>
    </row>
    <row r="1190" spans="1:3">
      <c r="A1190">
        <v>4533</v>
      </c>
      <c r="B1190" t="s">
        <v>1611</v>
      </c>
      <c r="C1190">
        <v>11.55</v>
      </c>
    </row>
    <row r="1191" spans="1:3">
      <c r="A1191">
        <v>4534</v>
      </c>
      <c r="B1191" t="s">
        <v>1612</v>
      </c>
      <c r="C1191">
        <v>10.4</v>
      </c>
    </row>
    <row r="1192" spans="1:3">
      <c r="A1192">
        <v>4535</v>
      </c>
      <c r="B1192" t="s">
        <v>1613</v>
      </c>
      <c r="C1192">
        <v>44.7</v>
      </c>
    </row>
    <row r="1193" spans="1:3">
      <c r="A1193">
        <v>4541</v>
      </c>
      <c r="B1193" t="s">
        <v>1614</v>
      </c>
      <c r="C1193">
        <v>30.4</v>
      </c>
    </row>
    <row r="1194" spans="1:3">
      <c r="A1194">
        <v>4542</v>
      </c>
      <c r="B1194" t="s">
        <v>386</v>
      </c>
      <c r="C1194">
        <v>20.85</v>
      </c>
    </row>
    <row r="1195" spans="1:3">
      <c r="A1195">
        <v>4549</v>
      </c>
      <c r="B1195" t="s">
        <v>387</v>
      </c>
      <c r="C1195">
        <v>73.400000000000006</v>
      </c>
    </row>
    <row r="1196" spans="1:3">
      <c r="A1196">
        <v>4550</v>
      </c>
      <c r="B1196" t="s">
        <v>388</v>
      </c>
      <c r="C1196">
        <v>22.45</v>
      </c>
    </row>
    <row r="1197" spans="1:3">
      <c r="A1197">
        <v>4609</v>
      </c>
      <c r="B1197" t="s">
        <v>1615</v>
      </c>
      <c r="C1197">
        <v>9.99</v>
      </c>
    </row>
    <row r="1198" spans="1:3">
      <c r="A1198">
        <v>4702</v>
      </c>
      <c r="B1198" t="s">
        <v>389</v>
      </c>
      <c r="C1198">
        <v>12.55</v>
      </c>
    </row>
    <row r="1199" spans="1:3">
      <c r="A1199">
        <v>4706</v>
      </c>
      <c r="B1199" t="s">
        <v>1616</v>
      </c>
      <c r="C1199">
        <v>15.25</v>
      </c>
    </row>
    <row r="1200" spans="1:3">
      <c r="A1200">
        <v>4707</v>
      </c>
      <c r="B1200" t="s">
        <v>390</v>
      </c>
      <c r="C1200">
        <v>8.5299999999999994</v>
      </c>
    </row>
    <row r="1201" spans="1:3">
      <c r="A1201">
        <v>4711</v>
      </c>
      <c r="B1201" t="s">
        <v>1617</v>
      </c>
      <c r="C1201">
        <v>11.7</v>
      </c>
    </row>
    <row r="1202" spans="1:3">
      <c r="A1202">
        <v>4712</v>
      </c>
      <c r="B1202" t="s">
        <v>391</v>
      </c>
      <c r="C1202">
        <v>7.83</v>
      </c>
    </row>
    <row r="1203" spans="1:3">
      <c r="A1203">
        <v>4714</v>
      </c>
      <c r="B1203" t="s">
        <v>392</v>
      </c>
      <c r="C1203">
        <v>8.5</v>
      </c>
    </row>
    <row r="1204" spans="1:3">
      <c r="A1204">
        <v>4716</v>
      </c>
      <c r="B1204" t="s">
        <v>1618</v>
      </c>
      <c r="C1204">
        <v>10.65</v>
      </c>
    </row>
    <row r="1205" spans="1:3">
      <c r="A1205">
        <v>4721</v>
      </c>
      <c r="B1205" t="s">
        <v>393</v>
      </c>
      <c r="C1205">
        <v>23.75</v>
      </c>
    </row>
    <row r="1206" spans="1:3">
      <c r="A1206">
        <v>4726</v>
      </c>
      <c r="B1206" t="s">
        <v>1619</v>
      </c>
      <c r="C1206">
        <v>41.7</v>
      </c>
    </row>
    <row r="1207" spans="1:3">
      <c r="A1207">
        <v>4728</v>
      </c>
      <c r="B1207" t="s">
        <v>394</v>
      </c>
      <c r="C1207">
        <v>27.7</v>
      </c>
    </row>
    <row r="1208" spans="1:3">
      <c r="A1208">
        <v>4729</v>
      </c>
      <c r="B1208" t="s">
        <v>395</v>
      </c>
      <c r="C1208">
        <v>12.85</v>
      </c>
    </row>
    <row r="1209" spans="1:3">
      <c r="A1209">
        <v>4735</v>
      </c>
      <c r="B1209" t="s">
        <v>1620</v>
      </c>
      <c r="C1209">
        <v>22.9</v>
      </c>
    </row>
    <row r="1210" spans="1:3">
      <c r="A1210">
        <v>4736</v>
      </c>
      <c r="B1210" t="s">
        <v>396</v>
      </c>
      <c r="C1210">
        <v>94</v>
      </c>
    </row>
    <row r="1211" spans="1:3">
      <c r="A1211">
        <v>4739</v>
      </c>
      <c r="B1211" t="s">
        <v>1621</v>
      </c>
      <c r="C1211">
        <v>40.200000000000003</v>
      </c>
    </row>
    <row r="1212" spans="1:3">
      <c r="A1212">
        <v>4743</v>
      </c>
      <c r="B1212" t="s">
        <v>1622</v>
      </c>
      <c r="C1212">
        <v>34.6</v>
      </c>
    </row>
    <row r="1213" spans="1:3">
      <c r="A1213">
        <v>4745</v>
      </c>
      <c r="B1213" t="s">
        <v>1623</v>
      </c>
      <c r="C1213">
        <v>66.7</v>
      </c>
    </row>
    <row r="1214" spans="1:3">
      <c r="A1214">
        <v>4747</v>
      </c>
      <c r="B1214" t="s">
        <v>1624</v>
      </c>
      <c r="C1214">
        <v>39.6</v>
      </c>
    </row>
    <row r="1215" spans="1:3">
      <c r="A1215">
        <v>4903</v>
      </c>
      <c r="B1215" t="s">
        <v>1625</v>
      </c>
      <c r="C1215">
        <v>9.82</v>
      </c>
    </row>
    <row r="1216" spans="1:3">
      <c r="A1216">
        <v>4905</v>
      </c>
      <c r="B1216" t="s">
        <v>1626</v>
      </c>
      <c r="C1216">
        <v>41</v>
      </c>
    </row>
    <row r="1217" spans="1:3">
      <c r="A1217">
        <v>4907</v>
      </c>
      <c r="B1217" t="s">
        <v>1627</v>
      </c>
      <c r="C1217">
        <v>0</v>
      </c>
    </row>
    <row r="1218" spans="1:3">
      <c r="A1218">
        <v>4908</v>
      </c>
      <c r="B1218" t="s">
        <v>1628</v>
      </c>
      <c r="C1218">
        <v>20</v>
      </c>
    </row>
    <row r="1219" spans="1:3">
      <c r="A1219">
        <v>4909</v>
      </c>
      <c r="B1219" t="s">
        <v>397</v>
      </c>
      <c r="C1219">
        <v>20.85</v>
      </c>
    </row>
    <row r="1220" spans="1:3">
      <c r="A1220">
        <v>4911</v>
      </c>
      <c r="B1220" t="s">
        <v>398</v>
      </c>
      <c r="C1220">
        <v>83.3</v>
      </c>
    </row>
    <row r="1221" spans="1:3">
      <c r="A1221">
        <v>4924</v>
      </c>
      <c r="B1221" t="s">
        <v>1629</v>
      </c>
      <c r="C1221">
        <v>6.84</v>
      </c>
    </row>
    <row r="1222" spans="1:3">
      <c r="A1222">
        <v>4933</v>
      </c>
      <c r="B1222" t="s">
        <v>399</v>
      </c>
      <c r="C1222">
        <v>24.45</v>
      </c>
    </row>
    <row r="1223" spans="1:3">
      <c r="A1223">
        <v>4939</v>
      </c>
      <c r="B1223" t="s">
        <v>400</v>
      </c>
      <c r="C1223">
        <v>7.8</v>
      </c>
    </row>
    <row r="1224" spans="1:3">
      <c r="A1224">
        <v>4944</v>
      </c>
      <c r="B1224" t="s">
        <v>1630</v>
      </c>
      <c r="C1224">
        <v>12.5</v>
      </c>
    </row>
    <row r="1225" spans="1:3">
      <c r="A1225">
        <v>4946</v>
      </c>
      <c r="B1225" t="s">
        <v>1631</v>
      </c>
      <c r="C1225">
        <v>40.049999999999997</v>
      </c>
    </row>
    <row r="1226" spans="1:3">
      <c r="A1226">
        <v>4947</v>
      </c>
      <c r="B1226" t="s">
        <v>1632</v>
      </c>
      <c r="C1226">
        <v>205.5</v>
      </c>
    </row>
    <row r="1227" spans="1:3">
      <c r="A1227">
        <v>4950</v>
      </c>
      <c r="B1227" t="s">
        <v>401</v>
      </c>
      <c r="C1227">
        <v>18.75</v>
      </c>
    </row>
    <row r="1228" spans="1:3">
      <c r="A1228">
        <v>4953</v>
      </c>
      <c r="B1228" t="s">
        <v>1633</v>
      </c>
      <c r="C1228">
        <v>23</v>
      </c>
    </row>
    <row r="1229" spans="1:3">
      <c r="A1229">
        <v>4965</v>
      </c>
      <c r="B1229" t="s">
        <v>402</v>
      </c>
      <c r="C1229">
        <v>135</v>
      </c>
    </row>
    <row r="1230" spans="1:3">
      <c r="A1230">
        <v>4966</v>
      </c>
      <c r="B1230" t="s">
        <v>1634</v>
      </c>
      <c r="C1230">
        <v>238.5</v>
      </c>
    </row>
    <row r="1231" spans="1:3">
      <c r="A1231">
        <v>4971</v>
      </c>
      <c r="B1231" t="s">
        <v>1635</v>
      </c>
      <c r="C1231">
        <v>114</v>
      </c>
    </row>
    <row r="1232" spans="1:3">
      <c r="A1232">
        <v>4972</v>
      </c>
      <c r="B1232" t="s">
        <v>1636</v>
      </c>
      <c r="C1232">
        <v>37.6</v>
      </c>
    </row>
    <row r="1233" spans="1:3">
      <c r="A1233">
        <v>4973</v>
      </c>
      <c r="B1233" t="s">
        <v>1637</v>
      </c>
      <c r="C1233">
        <v>16.350000000000001</v>
      </c>
    </row>
    <row r="1234" spans="1:3">
      <c r="A1234">
        <v>4974</v>
      </c>
      <c r="B1234" t="s">
        <v>403</v>
      </c>
      <c r="C1234">
        <v>40.1</v>
      </c>
    </row>
    <row r="1235" spans="1:3">
      <c r="A1235">
        <v>4979</v>
      </c>
      <c r="B1235" t="s">
        <v>404</v>
      </c>
      <c r="C1235">
        <v>91.8</v>
      </c>
    </row>
    <row r="1236" spans="1:3">
      <c r="A1236">
        <v>4987</v>
      </c>
      <c r="B1236" t="s">
        <v>1638</v>
      </c>
      <c r="C1236">
        <v>82</v>
      </c>
    </row>
    <row r="1237" spans="1:3">
      <c r="A1237">
        <v>4991</v>
      </c>
      <c r="B1237" t="s">
        <v>1639</v>
      </c>
      <c r="C1237">
        <v>78.3</v>
      </c>
    </row>
    <row r="1238" spans="1:3">
      <c r="A1238">
        <v>4995</v>
      </c>
      <c r="B1238" t="s">
        <v>1640</v>
      </c>
      <c r="C1238">
        <v>39</v>
      </c>
    </row>
    <row r="1239" spans="1:3">
      <c r="A1239">
        <v>5009</v>
      </c>
      <c r="B1239" t="s">
        <v>405</v>
      </c>
      <c r="C1239">
        <v>16.600000000000001</v>
      </c>
    </row>
    <row r="1240" spans="1:3">
      <c r="A1240">
        <v>5011</v>
      </c>
      <c r="B1240" t="s">
        <v>406</v>
      </c>
      <c r="C1240">
        <v>25.45</v>
      </c>
    </row>
    <row r="1241" spans="1:3">
      <c r="A1241">
        <v>5013</v>
      </c>
      <c r="B1241" t="s">
        <v>1641</v>
      </c>
      <c r="C1241">
        <v>15.85</v>
      </c>
    </row>
    <row r="1242" spans="1:3">
      <c r="A1242">
        <v>5014</v>
      </c>
      <c r="B1242" t="s">
        <v>1642</v>
      </c>
      <c r="C1242">
        <v>7.69</v>
      </c>
    </row>
    <row r="1243" spans="1:3">
      <c r="A1243">
        <v>5015</v>
      </c>
      <c r="B1243" t="s">
        <v>407</v>
      </c>
      <c r="C1243">
        <v>17.850000000000001</v>
      </c>
    </row>
    <row r="1244" spans="1:3">
      <c r="A1244">
        <v>5016</v>
      </c>
      <c r="B1244" t="s">
        <v>1643</v>
      </c>
      <c r="C1244">
        <v>23.2</v>
      </c>
    </row>
    <row r="1245" spans="1:3">
      <c r="A1245">
        <v>5102</v>
      </c>
      <c r="B1245" t="s">
        <v>408</v>
      </c>
      <c r="C1245">
        <v>14.3</v>
      </c>
    </row>
    <row r="1246" spans="1:3">
      <c r="A1246">
        <v>5201</v>
      </c>
      <c r="B1246" t="s">
        <v>1644</v>
      </c>
      <c r="C1246">
        <v>13</v>
      </c>
    </row>
    <row r="1247" spans="1:3">
      <c r="A1247">
        <v>5202</v>
      </c>
      <c r="B1247" t="s">
        <v>1645</v>
      </c>
      <c r="C1247">
        <v>14</v>
      </c>
    </row>
    <row r="1248" spans="1:3">
      <c r="A1248">
        <v>5205</v>
      </c>
      <c r="B1248" t="s">
        <v>1646</v>
      </c>
      <c r="C1248">
        <v>0</v>
      </c>
    </row>
    <row r="1249" spans="1:3">
      <c r="A1249">
        <v>5206</v>
      </c>
      <c r="B1249" t="s">
        <v>409</v>
      </c>
      <c r="C1249">
        <v>11.6</v>
      </c>
    </row>
    <row r="1250" spans="1:3">
      <c r="A1250">
        <v>5209</v>
      </c>
      <c r="B1250" t="s">
        <v>1647</v>
      </c>
      <c r="C1250">
        <v>42.55</v>
      </c>
    </row>
    <row r="1251" spans="1:3">
      <c r="A1251">
        <v>5210</v>
      </c>
      <c r="B1251" t="s">
        <v>410</v>
      </c>
      <c r="C1251">
        <v>7</v>
      </c>
    </row>
    <row r="1252" spans="1:3">
      <c r="A1252">
        <v>5211</v>
      </c>
      <c r="B1252" t="s">
        <v>411</v>
      </c>
      <c r="C1252">
        <v>23.65</v>
      </c>
    </row>
    <row r="1253" spans="1:3">
      <c r="A1253">
        <v>5212</v>
      </c>
      <c r="B1253" t="s">
        <v>1648</v>
      </c>
      <c r="C1253">
        <v>18.149999999999999</v>
      </c>
    </row>
    <row r="1254" spans="1:3">
      <c r="A1254">
        <v>5213</v>
      </c>
      <c r="B1254" t="s">
        <v>1649</v>
      </c>
      <c r="C1254">
        <v>14.55</v>
      </c>
    </row>
    <row r="1255" spans="1:3">
      <c r="A1255">
        <v>5227</v>
      </c>
      <c r="B1255" t="s">
        <v>1650</v>
      </c>
      <c r="C1255">
        <v>33.5</v>
      </c>
    </row>
    <row r="1256" spans="1:3">
      <c r="A1256">
        <v>5230</v>
      </c>
      <c r="B1256" t="s">
        <v>412</v>
      </c>
      <c r="C1256">
        <v>49.2</v>
      </c>
    </row>
    <row r="1257" spans="1:3">
      <c r="A1257">
        <v>5245</v>
      </c>
      <c r="B1257" t="s">
        <v>413</v>
      </c>
      <c r="C1257">
        <v>76.7</v>
      </c>
    </row>
    <row r="1258" spans="1:3">
      <c r="A1258">
        <v>5251</v>
      </c>
      <c r="B1258" t="s">
        <v>414</v>
      </c>
      <c r="C1258">
        <v>31</v>
      </c>
    </row>
    <row r="1259" spans="1:3">
      <c r="A1259">
        <v>5255</v>
      </c>
      <c r="B1259" t="s">
        <v>415</v>
      </c>
      <c r="C1259">
        <v>18.850000000000001</v>
      </c>
    </row>
    <row r="1260" spans="1:3">
      <c r="A1260">
        <v>5263</v>
      </c>
      <c r="B1260" t="s">
        <v>1651</v>
      </c>
      <c r="C1260">
        <v>279.5</v>
      </c>
    </row>
    <row r="1261" spans="1:3">
      <c r="A1261">
        <v>5266</v>
      </c>
      <c r="B1261" t="s">
        <v>1652</v>
      </c>
      <c r="C1261">
        <v>63.1</v>
      </c>
    </row>
    <row r="1262" spans="1:3">
      <c r="A1262">
        <v>5272</v>
      </c>
      <c r="B1262" t="s">
        <v>416</v>
      </c>
      <c r="C1262">
        <v>40.6</v>
      </c>
    </row>
    <row r="1263" spans="1:3">
      <c r="A1263">
        <v>5274</v>
      </c>
      <c r="B1263" t="s">
        <v>1653</v>
      </c>
      <c r="C1263">
        <v>340</v>
      </c>
    </row>
    <row r="1264" spans="1:3">
      <c r="A1264">
        <v>5276</v>
      </c>
      <c r="B1264" t="s">
        <v>1654</v>
      </c>
      <c r="C1264">
        <v>21.6</v>
      </c>
    </row>
    <row r="1265" spans="1:3">
      <c r="A1265">
        <v>5278</v>
      </c>
      <c r="B1265" t="s">
        <v>417</v>
      </c>
      <c r="C1265">
        <v>35.1</v>
      </c>
    </row>
    <row r="1266" spans="1:3">
      <c r="A1266">
        <v>5284</v>
      </c>
      <c r="B1266" t="s">
        <v>1655</v>
      </c>
      <c r="C1266">
        <v>77.5</v>
      </c>
    </row>
    <row r="1267" spans="1:3">
      <c r="A1267">
        <v>5287</v>
      </c>
      <c r="B1267" t="s">
        <v>418</v>
      </c>
      <c r="C1267">
        <v>295.5</v>
      </c>
    </row>
    <row r="1268" spans="1:3">
      <c r="A1268">
        <v>5289</v>
      </c>
      <c r="B1268" t="s">
        <v>1656</v>
      </c>
      <c r="C1268">
        <v>94</v>
      </c>
    </row>
    <row r="1269" spans="1:3">
      <c r="A1269">
        <v>5291</v>
      </c>
      <c r="B1269" t="s">
        <v>419</v>
      </c>
      <c r="C1269">
        <v>17.399999999999999</v>
      </c>
    </row>
    <row r="1270" spans="1:3">
      <c r="A1270">
        <v>5301</v>
      </c>
      <c r="B1270" t="s">
        <v>420</v>
      </c>
      <c r="C1270">
        <v>42.15</v>
      </c>
    </row>
    <row r="1271" spans="1:3">
      <c r="A1271">
        <v>5302</v>
      </c>
      <c r="B1271" t="s">
        <v>421</v>
      </c>
      <c r="C1271">
        <v>5.58</v>
      </c>
    </row>
    <row r="1272" spans="1:3">
      <c r="A1272">
        <v>5304</v>
      </c>
      <c r="B1272" t="s">
        <v>422</v>
      </c>
      <c r="C1272">
        <v>3.34</v>
      </c>
    </row>
    <row r="1273" spans="1:3">
      <c r="A1273">
        <v>5306</v>
      </c>
      <c r="B1273" t="s">
        <v>1657</v>
      </c>
      <c r="C1273">
        <v>143</v>
      </c>
    </row>
    <row r="1274" spans="1:3">
      <c r="A1274">
        <v>5309</v>
      </c>
      <c r="B1274" t="s">
        <v>1658</v>
      </c>
      <c r="C1274">
        <v>16.95</v>
      </c>
    </row>
    <row r="1275" spans="1:3">
      <c r="A1275">
        <v>5310</v>
      </c>
      <c r="B1275" t="s">
        <v>1659</v>
      </c>
      <c r="C1275">
        <v>26.3</v>
      </c>
    </row>
    <row r="1276" spans="1:3">
      <c r="A1276">
        <v>5312</v>
      </c>
      <c r="B1276" t="s">
        <v>423</v>
      </c>
      <c r="C1276">
        <v>77.8</v>
      </c>
    </row>
    <row r="1277" spans="1:3">
      <c r="A1277">
        <v>5314</v>
      </c>
      <c r="B1277" t="s">
        <v>1660</v>
      </c>
      <c r="C1277">
        <v>6.87</v>
      </c>
    </row>
    <row r="1278" spans="1:3">
      <c r="A1278">
        <v>5315</v>
      </c>
      <c r="B1278" t="s">
        <v>1661</v>
      </c>
      <c r="C1278">
        <v>24.45</v>
      </c>
    </row>
    <row r="1279" spans="1:3">
      <c r="A1279">
        <v>5317</v>
      </c>
      <c r="B1279" t="s">
        <v>424</v>
      </c>
      <c r="C1279">
        <v>14.75</v>
      </c>
    </row>
    <row r="1280" spans="1:3">
      <c r="A1280">
        <v>5321</v>
      </c>
      <c r="B1280" t="s">
        <v>1662</v>
      </c>
      <c r="C1280">
        <v>32.450000000000003</v>
      </c>
    </row>
    <row r="1281" spans="1:3">
      <c r="A1281">
        <v>5324</v>
      </c>
      <c r="B1281" t="s">
        <v>425</v>
      </c>
      <c r="C1281">
        <v>11.2</v>
      </c>
    </row>
    <row r="1282" spans="1:3">
      <c r="A1282">
        <v>5328</v>
      </c>
      <c r="B1282" t="s">
        <v>1663</v>
      </c>
      <c r="C1282">
        <v>5.71</v>
      </c>
    </row>
    <row r="1283" spans="1:3">
      <c r="A1283">
        <v>5340</v>
      </c>
      <c r="B1283" t="s">
        <v>1664</v>
      </c>
      <c r="C1283">
        <v>3.94</v>
      </c>
    </row>
    <row r="1284" spans="1:3">
      <c r="A1284">
        <v>5344</v>
      </c>
      <c r="B1284" t="s">
        <v>1665</v>
      </c>
      <c r="C1284">
        <v>6.13</v>
      </c>
    </row>
    <row r="1285" spans="1:3">
      <c r="A1285">
        <v>5345</v>
      </c>
      <c r="B1285" t="s">
        <v>426</v>
      </c>
      <c r="C1285">
        <v>10.1</v>
      </c>
    </row>
    <row r="1286" spans="1:3">
      <c r="A1286">
        <v>5347</v>
      </c>
      <c r="B1286" t="s">
        <v>427</v>
      </c>
      <c r="C1286">
        <v>42.15</v>
      </c>
    </row>
    <row r="1287" spans="1:3">
      <c r="A1287">
        <v>5348</v>
      </c>
      <c r="B1287" t="s">
        <v>1666</v>
      </c>
      <c r="C1287">
        <v>0</v>
      </c>
    </row>
    <row r="1288" spans="1:3">
      <c r="A1288">
        <v>5349</v>
      </c>
      <c r="B1288" t="s">
        <v>1667</v>
      </c>
      <c r="C1288">
        <v>37.299999999999997</v>
      </c>
    </row>
    <row r="1289" spans="1:3">
      <c r="A1289">
        <v>5351</v>
      </c>
      <c r="B1289" t="s">
        <v>1668</v>
      </c>
      <c r="C1289">
        <v>12.25</v>
      </c>
    </row>
    <row r="1290" spans="1:3">
      <c r="A1290">
        <v>5353</v>
      </c>
      <c r="B1290" t="s">
        <v>1669</v>
      </c>
      <c r="C1290">
        <v>9.3699999999999992</v>
      </c>
    </row>
    <row r="1291" spans="1:3">
      <c r="A1291">
        <v>5355</v>
      </c>
      <c r="B1291" t="s">
        <v>428</v>
      </c>
      <c r="C1291">
        <v>6.96</v>
      </c>
    </row>
    <row r="1292" spans="1:3">
      <c r="A1292">
        <v>5356</v>
      </c>
      <c r="B1292" t="s">
        <v>1670</v>
      </c>
      <c r="C1292">
        <v>39.299999999999997</v>
      </c>
    </row>
    <row r="1293" spans="1:3">
      <c r="A1293">
        <v>5364</v>
      </c>
      <c r="B1293" t="s">
        <v>429</v>
      </c>
      <c r="C1293">
        <v>40</v>
      </c>
    </row>
    <row r="1294" spans="1:3">
      <c r="A1294">
        <v>5371</v>
      </c>
      <c r="B1294" t="s">
        <v>430</v>
      </c>
      <c r="C1294">
        <v>33.35</v>
      </c>
    </row>
    <row r="1295" spans="1:3">
      <c r="A1295">
        <v>5381</v>
      </c>
      <c r="B1295" t="s">
        <v>1671</v>
      </c>
      <c r="C1295">
        <v>1.99</v>
      </c>
    </row>
    <row r="1296" spans="1:3">
      <c r="A1296">
        <v>5383</v>
      </c>
      <c r="B1296" t="s">
        <v>1672</v>
      </c>
      <c r="C1296">
        <v>10.45</v>
      </c>
    </row>
    <row r="1297" spans="1:3">
      <c r="A1297">
        <v>5384</v>
      </c>
      <c r="B1297" t="s">
        <v>431</v>
      </c>
      <c r="C1297">
        <v>12.9</v>
      </c>
    </row>
    <row r="1298" spans="1:3">
      <c r="A1298">
        <v>5386</v>
      </c>
      <c r="B1298" t="s">
        <v>1673</v>
      </c>
      <c r="C1298">
        <v>25.55</v>
      </c>
    </row>
    <row r="1299" spans="1:3">
      <c r="A1299">
        <v>5392</v>
      </c>
      <c r="B1299" t="s">
        <v>1674</v>
      </c>
      <c r="C1299">
        <v>56.9</v>
      </c>
    </row>
    <row r="1300" spans="1:3">
      <c r="A1300">
        <v>5395</v>
      </c>
      <c r="B1300" t="s">
        <v>1675</v>
      </c>
      <c r="C1300">
        <v>34.9</v>
      </c>
    </row>
    <row r="1301" spans="1:3">
      <c r="A1301">
        <v>5398</v>
      </c>
      <c r="B1301" t="s">
        <v>432</v>
      </c>
      <c r="C1301">
        <v>16.7</v>
      </c>
    </row>
    <row r="1302" spans="1:3">
      <c r="A1302">
        <v>5403</v>
      </c>
      <c r="B1302" t="s">
        <v>1866</v>
      </c>
      <c r="C1302">
        <v>22.25</v>
      </c>
    </row>
    <row r="1303" spans="1:3">
      <c r="A1303">
        <v>5410</v>
      </c>
      <c r="B1303" t="s">
        <v>1676</v>
      </c>
      <c r="C1303">
        <v>11.75</v>
      </c>
    </row>
    <row r="1304" spans="1:3">
      <c r="A1304">
        <v>5425</v>
      </c>
      <c r="B1304" t="s">
        <v>433</v>
      </c>
      <c r="C1304">
        <v>31.6</v>
      </c>
    </row>
    <row r="1305" spans="1:3">
      <c r="A1305">
        <v>5426</v>
      </c>
      <c r="B1305" t="s">
        <v>434</v>
      </c>
      <c r="C1305">
        <v>10.9</v>
      </c>
    </row>
    <row r="1306" spans="1:3">
      <c r="A1306">
        <v>5432</v>
      </c>
      <c r="B1306" t="s">
        <v>1677</v>
      </c>
      <c r="C1306">
        <v>15.1</v>
      </c>
    </row>
    <row r="1307" spans="1:3">
      <c r="A1307">
        <v>5438</v>
      </c>
      <c r="B1307" t="s">
        <v>1678</v>
      </c>
      <c r="C1307">
        <v>13.55</v>
      </c>
    </row>
    <row r="1308" spans="1:3">
      <c r="A1308">
        <v>5439</v>
      </c>
      <c r="B1308" t="s">
        <v>435</v>
      </c>
      <c r="C1308">
        <v>18.75</v>
      </c>
    </row>
    <row r="1309" spans="1:3">
      <c r="A1309">
        <v>5443</v>
      </c>
      <c r="B1309" t="s">
        <v>1679</v>
      </c>
      <c r="C1309">
        <v>13.25</v>
      </c>
    </row>
    <row r="1310" spans="1:3">
      <c r="A1310">
        <v>5450</v>
      </c>
      <c r="B1310" t="s">
        <v>436</v>
      </c>
      <c r="C1310">
        <v>8</v>
      </c>
    </row>
    <row r="1311" spans="1:3">
      <c r="A1311">
        <v>5452</v>
      </c>
      <c r="B1311" t="s">
        <v>437</v>
      </c>
      <c r="C1311">
        <v>9.15</v>
      </c>
    </row>
    <row r="1312" spans="1:3">
      <c r="A1312">
        <v>5455</v>
      </c>
      <c r="B1312" t="s">
        <v>438</v>
      </c>
      <c r="C1312">
        <v>5.65</v>
      </c>
    </row>
    <row r="1313" spans="1:3">
      <c r="A1313">
        <v>5457</v>
      </c>
      <c r="B1313" t="s">
        <v>439</v>
      </c>
      <c r="C1313">
        <v>25.8</v>
      </c>
    </row>
    <row r="1314" spans="1:3">
      <c r="A1314">
        <v>5460</v>
      </c>
      <c r="B1314" t="s">
        <v>1680</v>
      </c>
      <c r="C1314">
        <v>12.15</v>
      </c>
    </row>
    <row r="1315" spans="1:3">
      <c r="A1315">
        <v>5464</v>
      </c>
      <c r="B1315" t="s">
        <v>1681</v>
      </c>
      <c r="C1315">
        <v>16.399999999999999</v>
      </c>
    </row>
    <row r="1316" spans="1:3">
      <c r="A1316">
        <v>5465</v>
      </c>
      <c r="B1316" t="s">
        <v>440</v>
      </c>
      <c r="C1316">
        <v>10.45</v>
      </c>
    </row>
    <row r="1317" spans="1:3">
      <c r="A1317">
        <v>5468</v>
      </c>
      <c r="B1317" t="s">
        <v>441</v>
      </c>
      <c r="C1317">
        <v>7.05</v>
      </c>
    </row>
    <row r="1318" spans="1:3">
      <c r="A1318">
        <v>5474</v>
      </c>
      <c r="B1318" t="s">
        <v>1682</v>
      </c>
      <c r="C1318">
        <v>69.900000000000006</v>
      </c>
    </row>
    <row r="1319" spans="1:3">
      <c r="A1319">
        <v>5475</v>
      </c>
      <c r="B1319" t="s">
        <v>1683</v>
      </c>
      <c r="C1319">
        <v>4.13</v>
      </c>
    </row>
    <row r="1320" spans="1:3">
      <c r="A1320">
        <v>5478</v>
      </c>
      <c r="B1320" t="s">
        <v>442</v>
      </c>
      <c r="C1320">
        <v>60.8</v>
      </c>
    </row>
    <row r="1321" spans="1:3">
      <c r="A1321">
        <v>5480</v>
      </c>
      <c r="B1321" t="s">
        <v>1684</v>
      </c>
      <c r="C1321">
        <v>12</v>
      </c>
    </row>
    <row r="1322" spans="1:3">
      <c r="A1322">
        <v>5481</v>
      </c>
      <c r="B1322" t="s">
        <v>1685</v>
      </c>
      <c r="C1322">
        <v>14.6</v>
      </c>
    </row>
    <row r="1323" spans="1:3">
      <c r="A1323">
        <v>5483</v>
      </c>
      <c r="B1323" t="s">
        <v>1686</v>
      </c>
      <c r="C1323">
        <v>39.85</v>
      </c>
    </row>
    <row r="1324" spans="1:3">
      <c r="A1324">
        <v>5487</v>
      </c>
      <c r="B1324" t="s">
        <v>443</v>
      </c>
      <c r="C1324">
        <v>20.8</v>
      </c>
    </row>
    <row r="1325" spans="1:3">
      <c r="A1325">
        <v>5488</v>
      </c>
      <c r="B1325" t="s">
        <v>1687</v>
      </c>
      <c r="C1325">
        <v>5.76</v>
      </c>
    </row>
    <row r="1326" spans="1:3">
      <c r="A1326">
        <v>5489</v>
      </c>
      <c r="B1326" t="s">
        <v>1688</v>
      </c>
      <c r="C1326">
        <v>51</v>
      </c>
    </row>
    <row r="1327" spans="1:3">
      <c r="A1327">
        <v>5490</v>
      </c>
      <c r="B1327" t="s">
        <v>444</v>
      </c>
      <c r="C1327">
        <v>75.8</v>
      </c>
    </row>
    <row r="1328" spans="1:3">
      <c r="A1328">
        <v>5491</v>
      </c>
      <c r="B1328" t="s">
        <v>1689</v>
      </c>
      <c r="C1328">
        <v>7.23</v>
      </c>
    </row>
    <row r="1329" spans="1:3">
      <c r="A1329">
        <v>5493</v>
      </c>
      <c r="B1329" t="s">
        <v>1690</v>
      </c>
      <c r="C1329">
        <v>31.2</v>
      </c>
    </row>
    <row r="1330" spans="1:3">
      <c r="A1330">
        <v>5498</v>
      </c>
      <c r="B1330" t="s">
        <v>1691</v>
      </c>
      <c r="C1330">
        <v>8.1</v>
      </c>
    </row>
    <row r="1331" spans="1:3">
      <c r="A1331">
        <v>5506</v>
      </c>
      <c r="B1331" t="s">
        <v>445</v>
      </c>
      <c r="C1331">
        <v>0.6</v>
      </c>
    </row>
    <row r="1332" spans="1:3">
      <c r="A1332">
        <v>5508</v>
      </c>
      <c r="B1332" t="s">
        <v>1692</v>
      </c>
      <c r="C1332">
        <v>30.1</v>
      </c>
    </row>
    <row r="1333" spans="1:3">
      <c r="A1333">
        <v>5511</v>
      </c>
      <c r="B1333" t="s">
        <v>1693</v>
      </c>
      <c r="C1333">
        <v>24.65</v>
      </c>
    </row>
    <row r="1334" spans="1:3">
      <c r="A1334">
        <v>5512</v>
      </c>
      <c r="B1334" t="s">
        <v>446</v>
      </c>
      <c r="C1334">
        <v>10</v>
      </c>
    </row>
    <row r="1335" spans="1:3">
      <c r="A1335">
        <v>5514</v>
      </c>
      <c r="B1335" t="s">
        <v>1694</v>
      </c>
      <c r="C1335">
        <v>11.3</v>
      </c>
    </row>
    <row r="1336" spans="1:3">
      <c r="A1336">
        <v>5516</v>
      </c>
      <c r="B1336" t="s">
        <v>1695</v>
      </c>
      <c r="C1336">
        <v>10.45</v>
      </c>
    </row>
    <row r="1337" spans="1:3">
      <c r="A1337">
        <v>5520</v>
      </c>
      <c r="B1337" t="s">
        <v>1696</v>
      </c>
      <c r="C1337">
        <v>26.75</v>
      </c>
    </row>
    <row r="1338" spans="1:3">
      <c r="A1338">
        <v>5523</v>
      </c>
      <c r="B1338" t="s">
        <v>447</v>
      </c>
      <c r="C1338">
        <v>8.27</v>
      </c>
    </row>
    <row r="1339" spans="1:3">
      <c r="A1339">
        <v>5529</v>
      </c>
      <c r="B1339" t="s">
        <v>1697</v>
      </c>
      <c r="C1339">
        <v>8.84</v>
      </c>
    </row>
    <row r="1340" spans="1:3">
      <c r="A1340">
        <v>5530</v>
      </c>
      <c r="B1340" t="s">
        <v>1698</v>
      </c>
      <c r="C1340">
        <v>64.099999999999994</v>
      </c>
    </row>
    <row r="1341" spans="1:3">
      <c r="A1341">
        <v>5536</v>
      </c>
      <c r="B1341" t="s">
        <v>448</v>
      </c>
      <c r="C1341">
        <v>92.2</v>
      </c>
    </row>
    <row r="1342" spans="1:3">
      <c r="A1342">
        <v>5601</v>
      </c>
      <c r="B1342" t="s">
        <v>1699</v>
      </c>
      <c r="C1342">
        <v>0</v>
      </c>
    </row>
    <row r="1343" spans="1:3">
      <c r="A1343">
        <v>5603</v>
      </c>
      <c r="B1343" t="s">
        <v>449</v>
      </c>
      <c r="C1343">
        <v>15.6</v>
      </c>
    </row>
    <row r="1344" spans="1:3">
      <c r="A1344">
        <v>5604</v>
      </c>
      <c r="B1344" t="s">
        <v>1700</v>
      </c>
      <c r="C1344">
        <v>35.700000000000003</v>
      </c>
    </row>
    <row r="1345" spans="1:3">
      <c r="A1345">
        <v>5609</v>
      </c>
      <c r="B1345" t="s">
        <v>450</v>
      </c>
      <c r="C1345">
        <v>18</v>
      </c>
    </row>
    <row r="1346" spans="1:3">
      <c r="A1346">
        <v>5701</v>
      </c>
      <c r="B1346" t="s">
        <v>1701</v>
      </c>
      <c r="C1346">
        <v>3.47</v>
      </c>
    </row>
    <row r="1347" spans="1:3">
      <c r="A1347">
        <v>5703</v>
      </c>
      <c r="B1347" t="s">
        <v>1702</v>
      </c>
      <c r="C1347">
        <v>0</v>
      </c>
    </row>
    <row r="1348" spans="1:3">
      <c r="A1348">
        <v>5704</v>
      </c>
      <c r="B1348" t="s">
        <v>1703</v>
      </c>
      <c r="C1348">
        <v>27.2</v>
      </c>
    </row>
    <row r="1349" spans="1:3">
      <c r="A1349">
        <v>5820</v>
      </c>
      <c r="B1349" t="s">
        <v>1704</v>
      </c>
      <c r="C1349">
        <v>7.37</v>
      </c>
    </row>
    <row r="1350" spans="1:3">
      <c r="A1350">
        <v>5878</v>
      </c>
      <c r="B1350" t="s">
        <v>451</v>
      </c>
      <c r="C1350">
        <v>44.95</v>
      </c>
    </row>
    <row r="1351" spans="1:3">
      <c r="A1351">
        <v>5902</v>
      </c>
      <c r="B1351" t="s">
        <v>452</v>
      </c>
      <c r="C1351">
        <v>9.8000000000000007</v>
      </c>
    </row>
    <row r="1352" spans="1:3">
      <c r="A1352">
        <v>5903</v>
      </c>
      <c r="B1352" t="s">
        <v>1705</v>
      </c>
      <c r="C1352">
        <v>209</v>
      </c>
    </row>
    <row r="1353" spans="1:3">
      <c r="A1353">
        <v>5904</v>
      </c>
      <c r="B1353" t="s">
        <v>453</v>
      </c>
      <c r="C1353">
        <v>358</v>
      </c>
    </row>
    <row r="1354" spans="1:3">
      <c r="A1354">
        <v>5905</v>
      </c>
      <c r="B1354" t="s">
        <v>1706</v>
      </c>
      <c r="C1354">
        <v>8.8699999999999992</v>
      </c>
    </row>
    <row r="1355" spans="1:3">
      <c r="A1355">
        <v>6015</v>
      </c>
      <c r="B1355" t="s">
        <v>1707</v>
      </c>
      <c r="C1355">
        <v>6.6</v>
      </c>
    </row>
    <row r="1356" spans="1:3">
      <c r="A1356">
        <v>6016</v>
      </c>
      <c r="B1356" t="s">
        <v>1708</v>
      </c>
      <c r="C1356">
        <v>6.57</v>
      </c>
    </row>
    <row r="1357" spans="1:3">
      <c r="A1357">
        <v>6020</v>
      </c>
      <c r="B1357" t="s">
        <v>454</v>
      </c>
      <c r="C1357">
        <v>13.7</v>
      </c>
    </row>
    <row r="1358" spans="1:3">
      <c r="A1358">
        <v>6021</v>
      </c>
      <c r="B1358" t="s">
        <v>455</v>
      </c>
      <c r="C1358">
        <v>11.55</v>
      </c>
    </row>
    <row r="1359" spans="1:3">
      <c r="A1359">
        <v>6022</v>
      </c>
      <c r="B1359" t="s">
        <v>1709</v>
      </c>
      <c r="C1359">
        <v>10.1</v>
      </c>
    </row>
    <row r="1360" spans="1:3">
      <c r="A1360">
        <v>6023</v>
      </c>
      <c r="B1360" t="s">
        <v>1710</v>
      </c>
      <c r="C1360">
        <v>34.85</v>
      </c>
    </row>
    <row r="1361" spans="1:3">
      <c r="A1361">
        <v>6024</v>
      </c>
      <c r="B1361" t="s">
        <v>456</v>
      </c>
      <c r="C1361">
        <v>28.55</v>
      </c>
    </row>
    <row r="1362" spans="1:3">
      <c r="A1362">
        <v>6101</v>
      </c>
      <c r="B1362" t="s">
        <v>1711</v>
      </c>
      <c r="C1362">
        <v>14.95</v>
      </c>
    </row>
    <row r="1363" spans="1:3">
      <c r="A1363">
        <v>6103</v>
      </c>
      <c r="B1363" t="s">
        <v>1712</v>
      </c>
      <c r="C1363">
        <v>7.49</v>
      </c>
    </row>
    <row r="1364" spans="1:3">
      <c r="A1364">
        <v>6104</v>
      </c>
      <c r="B1364" t="s">
        <v>1713</v>
      </c>
      <c r="C1364">
        <v>37.5</v>
      </c>
    </row>
    <row r="1365" spans="1:3">
      <c r="A1365">
        <v>6105</v>
      </c>
      <c r="B1365" t="s">
        <v>1714</v>
      </c>
      <c r="C1365">
        <v>41.5</v>
      </c>
    </row>
    <row r="1366" spans="1:3">
      <c r="A1366">
        <v>6107</v>
      </c>
      <c r="B1366" t="s">
        <v>1715</v>
      </c>
      <c r="C1366">
        <v>77.400000000000006</v>
      </c>
    </row>
    <row r="1367" spans="1:3">
      <c r="A1367">
        <v>6109</v>
      </c>
      <c r="B1367" t="s">
        <v>1716</v>
      </c>
      <c r="C1367">
        <v>13.7</v>
      </c>
    </row>
    <row r="1368" spans="1:3">
      <c r="A1368">
        <v>6111</v>
      </c>
      <c r="B1368" t="s">
        <v>1717</v>
      </c>
      <c r="C1368">
        <v>86.5</v>
      </c>
    </row>
    <row r="1369" spans="1:3">
      <c r="A1369">
        <v>6113</v>
      </c>
      <c r="B1369" t="s">
        <v>1718</v>
      </c>
      <c r="C1369">
        <v>8.3699999999999992</v>
      </c>
    </row>
    <row r="1370" spans="1:3">
      <c r="A1370">
        <v>6114</v>
      </c>
      <c r="B1370" t="s">
        <v>1719</v>
      </c>
      <c r="C1370">
        <v>58.5</v>
      </c>
    </row>
    <row r="1371" spans="1:3">
      <c r="A1371">
        <v>6118</v>
      </c>
      <c r="B1371" t="s">
        <v>1720</v>
      </c>
      <c r="C1371">
        <v>7.82</v>
      </c>
    </row>
    <row r="1372" spans="1:3">
      <c r="A1372">
        <v>6121</v>
      </c>
      <c r="B1372" t="s">
        <v>457</v>
      </c>
      <c r="C1372">
        <v>114</v>
      </c>
    </row>
    <row r="1373" spans="1:3">
      <c r="A1373">
        <v>6122</v>
      </c>
      <c r="B1373" t="s">
        <v>1721</v>
      </c>
      <c r="C1373">
        <v>6.78</v>
      </c>
    </row>
    <row r="1374" spans="1:3">
      <c r="A1374">
        <v>6123</v>
      </c>
      <c r="B1374" t="s">
        <v>1722</v>
      </c>
      <c r="C1374">
        <v>26</v>
      </c>
    </row>
    <row r="1375" spans="1:3">
      <c r="A1375">
        <v>6124</v>
      </c>
      <c r="B1375" t="s">
        <v>1723</v>
      </c>
      <c r="C1375">
        <v>24.15</v>
      </c>
    </row>
    <row r="1376" spans="1:3">
      <c r="A1376">
        <v>6125</v>
      </c>
      <c r="B1376" t="s">
        <v>458</v>
      </c>
      <c r="C1376">
        <v>12.25</v>
      </c>
    </row>
    <row r="1377" spans="1:3">
      <c r="A1377">
        <v>6126</v>
      </c>
      <c r="B1377" t="s">
        <v>1724</v>
      </c>
      <c r="C1377">
        <v>7.63</v>
      </c>
    </row>
    <row r="1378" spans="1:3">
      <c r="A1378">
        <v>6127</v>
      </c>
      <c r="B1378" t="s">
        <v>1725</v>
      </c>
      <c r="C1378">
        <v>10.6</v>
      </c>
    </row>
    <row r="1379" spans="1:3">
      <c r="A1379">
        <v>6129</v>
      </c>
      <c r="B1379" t="s">
        <v>1726</v>
      </c>
      <c r="C1379">
        <v>7.09</v>
      </c>
    </row>
    <row r="1380" spans="1:3">
      <c r="A1380">
        <v>6130</v>
      </c>
      <c r="B1380" t="s">
        <v>459</v>
      </c>
      <c r="C1380">
        <v>32</v>
      </c>
    </row>
    <row r="1381" spans="1:3">
      <c r="A1381">
        <v>6134</v>
      </c>
      <c r="B1381" t="s">
        <v>1727</v>
      </c>
      <c r="C1381">
        <v>6.48</v>
      </c>
    </row>
    <row r="1382" spans="1:3">
      <c r="A1382">
        <v>6138</v>
      </c>
      <c r="B1382" t="s">
        <v>1728</v>
      </c>
      <c r="C1382">
        <v>20.85</v>
      </c>
    </row>
    <row r="1383" spans="1:3">
      <c r="A1383">
        <v>6140</v>
      </c>
      <c r="B1383" t="s">
        <v>1729</v>
      </c>
      <c r="C1383">
        <v>11.2</v>
      </c>
    </row>
    <row r="1384" spans="1:3">
      <c r="A1384">
        <v>6143</v>
      </c>
      <c r="B1384" t="s">
        <v>1730</v>
      </c>
      <c r="C1384">
        <v>61.7</v>
      </c>
    </row>
    <row r="1385" spans="1:3">
      <c r="A1385">
        <v>6144</v>
      </c>
      <c r="B1385" t="s">
        <v>1731</v>
      </c>
      <c r="C1385">
        <v>9.34</v>
      </c>
    </row>
    <row r="1386" spans="1:3">
      <c r="A1386">
        <v>6146</v>
      </c>
      <c r="B1386" t="s">
        <v>460</v>
      </c>
      <c r="C1386">
        <v>187.5</v>
      </c>
    </row>
    <row r="1387" spans="1:3">
      <c r="A1387">
        <v>6147</v>
      </c>
      <c r="B1387" t="s">
        <v>1732</v>
      </c>
      <c r="C1387">
        <v>51</v>
      </c>
    </row>
    <row r="1388" spans="1:3">
      <c r="A1388">
        <v>6148</v>
      </c>
      <c r="B1388" t="s">
        <v>1733</v>
      </c>
      <c r="C1388">
        <v>7.7</v>
      </c>
    </row>
    <row r="1389" spans="1:3">
      <c r="A1389">
        <v>6150</v>
      </c>
      <c r="B1389" t="s">
        <v>1734</v>
      </c>
      <c r="C1389">
        <v>7.41</v>
      </c>
    </row>
    <row r="1390" spans="1:3">
      <c r="A1390">
        <v>6151</v>
      </c>
      <c r="B1390" t="s">
        <v>1735</v>
      </c>
      <c r="C1390">
        <v>22.05</v>
      </c>
    </row>
    <row r="1391" spans="1:3">
      <c r="A1391">
        <v>6154</v>
      </c>
      <c r="B1391" t="s">
        <v>461</v>
      </c>
      <c r="C1391">
        <v>16.8</v>
      </c>
    </row>
    <row r="1392" spans="1:3">
      <c r="A1392">
        <v>6156</v>
      </c>
      <c r="B1392" t="s">
        <v>1868</v>
      </c>
      <c r="C1392">
        <v>13.8</v>
      </c>
    </row>
    <row r="1393" spans="1:3">
      <c r="A1393">
        <v>6158</v>
      </c>
      <c r="B1393" t="s">
        <v>462</v>
      </c>
      <c r="C1393">
        <v>10.199999999999999</v>
      </c>
    </row>
    <row r="1394" spans="1:3">
      <c r="A1394">
        <v>6160</v>
      </c>
      <c r="B1394" t="s">
        <v>1736</v>
      </c>
      <c r="C1394">
        <v>13.75</v>
      </c>
    </row>
    <row r="1395" spans="1:3">
      <c r="A1395">
        <v>6161</v>
      </c>
      <c r="B1395" t="s">
        <v>463</v>
      </c>
      <c r="C1395">
        <v>6.65</v>
      </c>
    </row>
    <row r="1396" spans="1:3">
      <c r="A1396">
        <v>6163</v>
      </c>
      <c r="B1396" t="s">
        <v>464</v>
      </c>
      <c r="C1396">
        <v>10.15</v>
      </c>
    </row>
    <row r="1397" spans="1:3">
      <c r="A1397">
        <v>6167</v>
      </c>
      <c r="B1397" t="s">
        <v>1737</v>
      </c>
      <c r="C1397">
        <v>4.82</v>
      </c>
    </row>
    <row r="1398" spans="1:3">
      <c r="A1398">
        <v>6169</v>
      </c>
      <c r="B1398" t="s">
        <v>1738</v>
      </c>
      <c r="C1398">
        <v>21.4</v>
      </c>
    </row>
    <row r="1399" spans="1:3">
      <c r="A1399">
        <v>6170</v>
      </c>
      <c r="B1399" t="s">
        <v>465</v>
      </c>
      <c r="C1399">
        <v>9.01</v>
      </c>
    </row>
    <row r="1400" spans="1:3">
      <c r="A1400">
        <v>6171</v>
      </c>
      <c r="B1400" t="s">
        <v>466</v>
      </c>
      <c r="C1400">
        <v>0</v>
      </c>
    </row>
    <row r="1401" spans="1:3">
      <c r="A1401">
        <v>6173</v>
      </c>
      <c r="B1401" t="s">
        <v>1739</v>
      </c>
      <c r="C1401">
        <v>9.52</v>
      </c>
    </row>
    <row r="1402" spans="1:3">
      <c r="A1402">
        <v>6174</v>
      </c>
      <c r="B1402" t="s">
        <v>1740</v>
      </c>
      <c r="C1402">
        <v>14.85</v>
      </c>
    </row>
    <row r="1403" spans="1:3">
      <c r="A1403">
        <v>6175</v>
      </c>
      <c r="B1403" t="s">
        <v>467</v>
      </c>
      <c r="C1403">
        <v>12.75</v>
      </c>
    </row>
    <row r="1404" spans="1:3">
      <c r="A1404">
        <v>6179</v>
      </c>
      <c r="B1404" t="s">
        <v>468</v>
      </c>
      <c r="C1404">
        <v>37.950000000000003</v>
      </c>
    </row>
    <row r="1405" spans="1:3">
      <c r="A1405">
        <v>6180</v>
      </c>
      <c r="B1405" t="s">
        <v>1741</v>
      </c>
      <c r="C1405">
        <v>45.3</v>
      </c>
    </row>
    <row r="1406" spans="1:3">
      <c r="A1406">
        <v>6182</v>
      </c>
      <c r="B1406" t="s">
        <v>469</v>
      </c>
      <c r="C1406">
        <v>10.15</v>
      </c>
    </row>
    <row r="1407" spans="1:3">
      <c r="A1407">
        <v>6185</v>
      </c>
      <c r="B1407" t="s">
        <v>1742</v>
      </c>
      <c r="C1407">
        <v>23.3</v>
      </c>
    </row>
    <row r="1408" spans="1:3">
      <c r="A1408">
        <v>6186</v>
      </c>
      <c r="B1408" t="s">
        <v>470</v>
      </c>
      <c r="C1408">
        <v>23.3</v>
      </c>
    </row>
    <row r="1409" spans="1:3">
      <c r="A1409">
        <v>6187</v>
      </c>
      <c r="B1409" t="s">
        <v>1743</v>
      </c>
      <c r="C1409">
        <v>39.5</v>
      </c>
    </row>
    <row r="1410" spans="1:3">
      <c r="A1410">
        <v>6188</v>
      </c>
      <c r="B1410" t="s">
        <v>1744</v>
      </c>
      <c r="C1410">
        <v>19.2</v>
      </c>
    </row>
    <row r="1411" spans="1:3">
      <c r="A1411">
        <v>6190</v>
      </c>
      <c r="B1411" t="s">
        <v>471</v>
      </c>
      <c r="C1411">
        <v>6.26</v>
      </c>
    </row>
    <row r="1412" spans="1:3">
      <c r="A1412">
        <v>6194</v>
      </c>
      <c r="B1412" t="s">
        <v>1745</v>
      </c>
      <c r="C1412">
        <v>20.149999999999999</v>
      </c>
    </row>
    <row r="1413" spans="1:3">
      <c r="A1413">
        <v>6195</v>
      </c>
      <c r="B1413" t="s">
        <v>472</v>
      </c>
      <c r="C1413">
        <v>50.5</v>
      </c>
    </row>
    <row r="1414" spans="1:3">
      <c r="A1414">
        <v>6198</v>
      </c>
      <c r="B1414" t="s">
        <v>1746</v>
      </c>
      <c r="C1414">
        <v>14.2</v>
      </c>
    </row>
    <row r="1415" spans="1:3">
      <c r="A1415">
        <v>6199</v>
      </c>
      <c r="B1415" t="s">
        <v>1747</v>
      </c>
      <c r="C1415">
        <v>0</v>
      </c>
    </row>
    <row r="1416" spans="1:3">
      <c r="A1416">
        <v>6203</v>
      </c>
      <c r="B1416" t="s">
        <v>473</v>
      </c>
      <c r="C1416">
        <v>30.1</v>
      </c>
    </row>
    <row r="1417" spans="1:3">
      <c r="A1417">
        <v>6204</v>
      </c>
      <c r="B1417" t="s">
        <v>1748</v>
      </c>
      <c r="C1417">
        <v>22.9</v>
      </c>
    </row>
    <row r="1418" spans="1:3">
      <c r="A1418">
        <v>6207</v>
      </c>
      <c r="B1418" t="s">
        <v>474</v>
      </c>
      <c r="C1418">
        <v>27.4</v>
      </c>
    </row>
    <row r="1419" spans="1:3">
      <c r="A1419">
        <v>6208</v>
      </c>
      <c r="B1419" t="s">
        <v>1749</v>
      </c>
      <c r="C1419">
        <v>11.1</v>
      </c>
    </row>
    <row r="1420" spans="1:3">
      <c r="A1420">
        <v>6210</v>
      </c>
      <c r="B1420" t="s">
        <v>1750</v>
      </c>
      <c r="C1420">
        <v>44.1</v>
      </c>
    </row>
    <row r="1421" spans="1:3">
      <c r="A1421">
        <v>6211</v>
      </c>
      <c r="B1421" t="s">
        <v>1751</v>
      </c>
      <c r="C1421">
        <v>21</v>
      </c>
    </row>
    <row r="1422" spans="1:3">
      <c r="A1422">
        <v>6212</v>
      </c>
      <c r="B1422" t="s">
        <v>475</v>
      </c>
      <c r="C1422">
        <v>26.3</v>
      </c>
    </row>
    <row r="1423" spans="1:3">
      <c r="A1423">
        <v>6217</v>
      </c>
      <c r="B1423" t="s">
        <v>1752</v>
      </c>
      <c r="C1423">
        <v>49</v>
      </c>
    </row>
    <row r="1424" spans="1:3">
      <c r="A1424">
        <v>6218</v>
      </c>
      <c r="B1424" t="s">
        <v>1753</v>
      </c>
      <c r="C1424">
        <v>16.75</v>
      </c>
    </row>
    <row r="1425" spans="1:3">
      <c r="A1425">
        <v>6219</v>
      </c>
      <c r="B1425" t="s">
        <v>1754</v>
      </c>
      <c r="C1425">
        <v>11.95</v>
      </c>
    </row>
    <row r="1426" spans="1:3">
      <c r="A1426">
        <v>6220</v>
      </c>
      <c r="B1426" t="s">
        <v>476</v>
      </c>
      <c r="C1426">
        <v>15.7</v>
      </c>
    </row>
    <row r="1427" spans="1:3">
      <c r="A1427">
        <v>6221</v>
      </c>
      <c r="B1427" t="s">
        <v>477</v>
      </c>
      <c r="C1427">
        <v>23.6</v>
      </c>
    </row>
    <row r="1428" spans="1:3">
      <c r="A1428">
        <v>6222</v>
      </c>
      <c r="B1428" t="s">
        <v>1755</v>
      </c>
      <c r="C1428">
        <v>7.7</v>
      </c>
    </row>
    <row r="1429" spans="1:3">
      <c r="A1429">
        <v>6223</v>
      </c>
      <c r="B1429" t="s">
        <v>478</v>
      </c>
      <c r="C1429">
        <v>66.7</v>
      </c>
    </row>
    <row r="1430" spans="1:3">
      <c r="A1430">
        <v>6227</v>
      </c>
      <c r="B1430" t="s">
        <v>479</v>
      </c>
      <c r="C1430">
        <v>18.7</v>
      </c>
    </row>
    <row r="1431" spans="1:3">
      <c r="A1431">
        <v>6228</v>
      </c>
      <c r="B1431" t="s">
        <v>1756</v>
      </c>
      <c r="C1431">
        <v>11.05</v>
      </c>
    </row>
    <row r="1432" spans="1:3">
      <c r="A1432">
        <v>6229</v>
      </c>
      <c r="B1432" t="s">
        <v>480</v>
      </c>
      <c r="C1432">
        <v>12</v>
      </c>
    </row>
    <row r="1433" spans="1:3">
      <c r="A1433">
        <v>6231</v>
      </c>
      <c r="B1433" t="s">
        <v>481</v>
      </c>
      <c r="C1433">
        <v>31.05</v>
      </c>
    </row>
    <row r="1434" spans="1:3">
      <c r="A1434">
        <v>6233</v>
      </c>
      <c r="B1434" t="s">
        <v>1757</v>
      </c>
      <c r="C1434">
        <v>12.9</v>
      </c>
    </row>
    <row r="1435" spans="1:3">
      <c r="A1435">
        <v>6234</v>
      </c>
      <c r="B1435" t="s">
        <v>482</v>
      </c>
      <c r="C1435">
        <v>19.8</v>
      </c>
    </row>
    <row r="1436" spans="1:3">
      <c r="A1436">
        <v>6236</v>
      </c>
      <c r="B1436" t="s">
        <v>483</v>
      </c>
      <c r="C1436">
        <v>32.65</v>
      </c>
    </row>
    <row r="1437" spans="1:3">
      <c r="A1437">
        <v>6237</v>
      </c>
      <c r="B1437" t="s">
        <v>484</v>
      </c>
      <c r="C1437">
        <v>29.8</v>
      </c>
    </row>
    <row r="1438" spans="1:3">
      <c r="A1438">
        <v>6238</v>
      </c>
      <c r="B1438" t="s">
        <v>1758</v>
      </c>
      <c r="C1438">
        <v>147</v>
      </c>
    </row>
    <row r="1439" spans="1:3">
      <c r="A1439">
        <v>6240</v>
      </c>
      <c r="B1439" t="s">
        <v>1759</v>
      </c>
      <c r="C1439">
        <v>0</v>
      </c>
    </row>
    <row r="1440" spans="1:3">
      <c r="A1440">
        <v>6241</v>
      </c>
      <c r="B1440" t="s">
        <v>485</v>
      </c>
      <c r="C1440">
        <v>13.25</v>
      </c>
    </row>
    <row r="1441" spans="1:3">
      <c r="A1441">
        <v>6242</v>
      </c>
      <c r="B1441" t="s">
        <v>1760</v>
      </c>
      <c r="C1441">
        <v>0</v>
      </c>
    </row>
    <row r="1442" spans="1:3">
      <c r="A1442">
        <v>6244</v>
      </c>
      <c r="B1442" t="s">
        <v>486</v>
      </c>
      <c r="C1442">
        <v>42.15</v>
      </c>
    </row>
    <row r="1443" spans="1:3">
      <c r="A1443">
        <v>6245</v>
      </c>
      <c r="B1443" t="s">
        <v>1761</v>
      </c>
      <c r="C1443">
        <v>41.55</v>
      </c>
    </row>
    <row r="1444" spans="1:3">
      <c r="A1444">
        <v>6246</v>
      </c>
      <c r="B1444" t="s">
        <v>487</v>
      </c>
      <c r="C1444">
        <v>2.46</v>
      </c>
    </row>
    <row r="1445" spans="1:3">
      <c r="A1445">
        <v>6247</v>
      </c>
      <c r="B1445" t="s">
        <v>1762</v>
      </c>
      <c r="C1445">
        <v>13.75</v>
      </c>
    </row>
    <row r="1446" spans="1:3">
      <c r="A1446">
        <v>6248</v>
      </c>
      <c r="B1446" t="s">
        <v>488</v>
      </c>
      <c r="C1446">
        <v>21.95</v>
      </c>
    </row>
    <row r="1447" spans="1:3">
      <c r="A1447">
        <v>6259</v>
      </c>
      <c r="B1447" t="s">
        <v>490</v>
      </c>
      <c r="C1447">
        <v>11.75</v>
      </c>
    </row>
    <row r="1448" spans="1:3">
      <c r="A1448">
        <v>6261</v>
      </c>
      <c r="B1448" t="s">
        <v>491</v>
      </c>
      <c r="C1448">
        <v>46</v>
      </c>
    </row>
    <row r="1449" spans="1:3">
      <c r="A1449">
        <v>6263</v>
      </c>
      <c r="B1449" t="s">
        <v>1763</v>
      </c>
      <c r="C1449">
        <v>46.8</v>
      </c>
    </row>
    <row r="1450" spans="1:3">
      <c r="A1450">
        <v>6264</v>
      </c>
      <c r="B1450" t="s">
        <v>492</v>
      </c>
      <c r="C1450">
        <v>6.3</v>
      </c>
    </row>
    <row r="1451" spans="1:3">
      <c r="A1451">
        <v>6265</v>
      </c>
      <c r="B1451" t="s">
        <v>493</v>
      </c>
      <c r="C1451">
        <v>7.45</v>
      </c>
    </row>
    <row r="1452" spans="1:3">
      <c r="A1452">
        <v>6266</v>
      </c>
      <c r="B1452" t="s">
        <v>1764</v>
      </c>
      <c r="C1452">
        <v>13.1</v>
      </c>
    </row>
    <row r="1453" spans="1:3">
      <c r="A1453">
        <v>6270</v>
      </c>
      <c r="B1453" t="s">
        <v>1765</v>
      </c>
      <c r="C1453">
        <v>10.8</v>
      </c>
    </row>
    <row r="1454" spans="1:3">
      <c r="A1454">
        <v>6274</v>
      </c>
      <c r="B1454" t="s">
        <v>494</v>
      </c>
      <c r="C1454">
        <v>28.6</v>
      </c>
    </row>
    <row r="1455" spans="1:3">
      <c r="A1455">
        <v>6275</v>
      </c>
      <c r="B1455" t="s">
        <v>1766</v>
      </c>
      <c r="C1455">
        <v>13.3</v>
      </c>
    </row>
    <row r="1456" spans="1:3">
      <c r="A1456">
        <v>6276</v>
      </c>
      <c r="B1456" t="s">
        <v>495</v>
      </c>
      <c r="C1456">
        <v>7.56</v>
      </c>
    </row>
    <row r="1457" spans="1:3">
      <c r="A1457">
        <v>6279</v>
      </c>
      <c r="B1457" t="s">
        <v>1767</v>
      </c>
      <c r="C1457">
        <v>136.5</v>
      </c>
    </row>
    <row r="1458" spans="1:3">
      <c r="A1458">
        <v>6284</v>
      </c>
      <c r="B1458" t="s">
        <v>1768</v>
      </c>
      <c r="C1458">
        <v>21.8</v>
      </c>
    </row>
    <row r="1459" spans="1:3">
      <c r="A1459">
        <v>6287</v>
      </c>
      <c r="B1459" t="s">
        <v>1769</v>
      </c>
      <c r="C1459">
        <v>0</v>
      </c>
    </row>
    <row r="1460" spans="1:3">
      <c r="A1460">
        <v>6290</v>
      </c>
      <c r="B1460" t="s">
        <v>1770</v>
      </c>
      <c r="C1460">
        <v>24.6</v>
      </c>
    </row>
    <row r="1461" spans="1:3">
      <c r="A1461">
        <v>6291</v>
      </c>
      <c r="B1461" t="s">
        <v>496</v>
      </c>
      <c r="C1461">
        <v>2.61</v>
      </c>
    </row>
    <row r="1462" spans="1:3">
      <c r="A1462">
        <v>6292</v>
      </c>
      <c r="B1462" t="s">
        <v>1771</v>
      </c>
      <c r="C1462">
        <v>28.8</v>
      </c>
    </row>
    <row r="1463" spans="1:3">
      <c r="A1463">
        <v>6294</v>
      </c>
      <c r="B1463" t="s">
        <v>1772</v>
      </c>
      <c r="C1463">
        <v>102.5</v>
      </c>
    </row>
    <row r="1464" spans="1:3">
      <c r="A1464">
        <v>6298</v>
      </c>
      <c r="B1464" t="s">
        <v>1773</v>
      </c>
      <c r="C1464">
        <v>17.2</v>
      </c>
    </row>
    <row r="1465" spans="1:3">
      <c r="A1465">
        <v>6404</v>
      </c>
      <c r="B1465" t="s">
        <v>1774</v>
      </c>
      <c r="C1465">
        <v>49.3</v>
      </c>
    </row>
    <row r="1466" spans="1:3">
      <c r="A1466">
        <v>6411</v>
      </c>
      <c r="B1466" t="s">
        <v>497</v>
      </c>
      <c r="C1466">
        <v>31.2</v>
      </c>
    </row>
    <row r="1467" spans="1:3">
      <c r="A1467">
        <v>6417</v>
      </c>
      <c r="B1467" t="s">
        <v>543</v>
      </c>
      <c r="C1467">
        <v>51.7</v>
      </c>
    </row>
    <row r="1468" spans="1:3">
      <c r="A1468">
        <v>6419</v>
      </c>
      <c r="B1468" t="s">
        <v>1775</v>
      </c>
      <c r="C1468">
        <v>23.2</v>
      </c>
    </row>
    <row r="1469" spans="1:3">
      <c r="A1469">
        <v>6426</v>
      </c>
      <c r="B1469" t="s">
        <v>498</v>
      </c>
      <c r="C1469">
        <v>36.200000000000003</v>
      </c>
    </row>
    <row r="1470" spans="1:3">
      <c r="A1470">
        <v>6432</v>
      </c>
      <c r="B1470" t="s">
        <v>1776</v>
      </c>
      <c r="C1470">
        <v>27.35</v>
      </c>
    </row>
    <row r="1471" spans="1:3">
      <c r="A1471">
        <v>6457</v>
      </c>
      <c r="B1471" t="s">
        <v>1777</v>
      </c>
      <c r="C1471">
        <v>31.9</v>
      </c>
    </row>
    <row r="1472" spans="1:3">
      <c r="A1472">
        <v>6470</v>
      </c>
      <c r="B1472" t="s">
        <v>1941</v>
      </c>
      <c r="C1472">
        <v>56.1</v>
      </c>
    </row>
    <row r="1473" spans="1:3">
      <c r="A1473">
        <v>6488</v>
      </c>
      <c r="B1473" t="s">
        <v>1778</v>
      </c>
      <c r="C1473">
        <v>74</v>
      </c>
    </row>
    <row r="1474" spans="1:3">
      <c r="A1474">
        <v>6506</v>
      </c>
      <c r="B1474" t="s">
        <v>1779</v>
      </c>
      <c r="C1474">
        <v>20.350000000000001</v>
      </c>
    </row>
    <row r="1475" spans="1:3">
      <c r="A1475">
        <v>6508</v>
      </c>
      <c r="B1475" t="s">
        <v>499</v>
      </c>
      <c r="C1475">
        <v>28.55</v>
      </c>
    </row>
    <row r="1476" spans="1:3">
      <c r="A1476">
        <v>6509</v>
      </c>
      <c r="B1476" t="s">
        <v>500</v>
      </c>
      <c r="C1476">
        <v>18.75</v>
      </c>
    </row>
    <row r="1477" spans="1:3">
      <c r="A1477">
        <v>6603</v>
      </c>
      <c r="B1477" t="s">
        <v>501</v>
      </c>
      <c r="C1477">
        <v>11.1</v>
      </c>
    </row>
    <row r="1478" spans="1:3">
      <c r="A1478">
        <v>6609</v>
      </c>
      <c r="B1478" t="s">
        <v>502</v>
      </c>
      <c r="C1478">
        <v>27</v>
      </c>
    </row>
    <row r="1479" spans="1:3">
      <c r="A1479">
        <v>6803</v>
      </c>
      <c r="B1479" t="s">
        <v>1780</v>
      </c>
      <c r="C1479">
        <v>164.5</v>
      </c>
    </row>
    <row r="1480" spans="1:3">
      <c r="A1480">
        <v>8024</v>
      </c>
      <c r="B1480" t="s">
        <v>503</v>
      </c>
      <c r="C1480">
        <v>10.95</v>
      </c>
    </row>
    <row r="1481" spans="1:3">
      <c r="A1481">
        <v>8027</v>
      </c>
      <c r="B1481" t="s">
        <v>1781</v>
      </c>
      <c r="C1481">
        <v>19.7</v>
      </c>
    </row>
    <row r="1482" spans="1:3">
      <c r="A1482">
        <v>8032</v>
      </c>
      <c r="B1482" t="s">
        <v>1782</v>
      </c>
      <c r="C1482">
        <v>28.2</v>
      </c>
    </row>
    <row r="1483" spans="1:3">
      <c r="A1483">
        <v>8034</v>
      </c>
      <c r="B1483" t="s">
        <v>1783</v>
      </c>
      <c r="C1483">
        <v>6.34</v>
      </c>
    </row>
    <row r="1484" spans="1:3">
      <c r="A1484">
        <v>8038</v>
      </c>
      <c r="B1484" t="s">
        <v>504</v>
      </c>
      <c r="C1484">
        <v>37</v>
      </c>
    </row>
    <row r="1485" spans="1:3">
      <c r="A1485">
        <v>8040</v>
      </c>
      <c r="B1485" t="s">
        <v>1784</v>
      </c>
      <c r="C1485">
        <v>7.52</v>
      </c>
    </row>
    <row r="1486" spans="1:3">
      <c r="A1486">
        <v>8042</v>
      </c>
      <c r="B1486" t="s">
        <v>1785</v>
      </c>
      <c r="C1486">
        <v>35.6</v>
      </c>
    </row>
    <row r="1487" spans="1:3">
      <c r="A1487">
        <v>8043</v>
      </c>
      <c r="B1487" t="s">
        <v>1786</v>
      </c>
      <c r="C1487">
        <v>14.75</v>
      </c>
    </row>
    <row r="1488" spans="1:3">
      <c r="A1488">
        <v>8044</v>
      </c>
      <c r="B1488" t="s">
        <v>1787</v>
      </c>
      <c r="C1488">
        <v>348.5</v>
      </c>
    </row>
    <row r="1489" spans="1:3">
      <c r="A1489">
        <v>8047</v>
      </c>
      <c r="B1489" t="s">
        <v>1788</v>
      </c>
      <c r="C1489">
        <v>11.3</v>
      </c>
    </row>
    <row r="1490" spans="1:3">
      <c r="A1490">
        <v>8048</v>
      </c>
      <c r="B1490" t="s">
        <v>1789</v>
      </c>
      <c r="C1490">
        <v>51.6</v>
      </c>
    </row>
    <row r="1491" spans="1:3">
      <c r="A1491">
        <v>8049</v>
      </c>
      <c r="B1491" t="s">
        <v>1790</v>
      </c>
      <c r="C1491">
        <v>9.99</v>
      </c>
    </row>
    <row r="1492" spans="1:3">
      <c r="A1492">
        <v>8050</v>
      </c>
      <c r="B1492" t="s">
        <v>1791</v>
      </c>
      <c r="C1492">
        <v>49.65</v>
      </c>
    </row>
    <row r="1493" spans="1:3">
      <c r="A1493">
        <v>8053</v>
      </c>
      <c r="B1493" t="s">
        <v>1792</v>
      </c>
      <c r="C1493">
        <v>0</v>
      </c>
    </row>
    <row r="1494" spans="1:3">
      <c r="A1494">
        <v>8054</v>
      </c>
      <c r="B1494" t="s">
        <v>505</v>
      </c>
      <c r="C1494">
        <v>20.6</v>
      </c>
    </row>
    <row r="1495" spans="1:3">
      <c r="A1495">
        <v>8059</v>
      </c>
      <c r="B1495" t="s">
        <v>1793</v>
      </c>
      <c r="C1495">
        <v>10.85</v>
      </c>
    </row>
    <row r="1496" spans="1:3">
      <c r="A1496">
        <v>8064</v>
      </c>
      <c r="B1496" t="s">
        <v>506</v>
      </c>
      <c r="C1496">
        <v>11.95</v>
      </c>
    </row>
    <row r="1497" spans="1:3">
      <c r="A1497">
        <v>8066</v>
      </c>
      <c r="B1497" t="s">
        <v>1794</v>
      </c>
      <c r="C1497">
        <v>95</v>
      </c>
    </row>
    <row r="1498" spans="1:3">
      <c r="A1498">
        <v>8067</v>
      </c>
      <c r="B1498" t="s">
        <v>1795</v>
      </c>
      <c r="C1498">
        <v>5.73</v>
      </c>
    </row>
    <row r="1499" spans="1:3">
      <c r="A1499">
        <v>8068</v>
      </c>
      <c r="B1499" t="s">
        <v>507</v>
      </c>
      <c r="C1499">
        <v>16.5</v>
      </c>
    </row>
    <row r="1500" spans="1:3">
      <c r="A1500">
        <v>8069</v>
      </c>
      <c r="B1500" t="s">
        <v>1796</v>
      </c>
      <c r="C1500">
        <v>15</v>
      </c>
    </row>
    <row r="1501" spans="1:3">
      <c r="A1501">
        <v>8071</v>
      </c>
      <c r="B1501" t="s">
        <v>508</v>
      </c>
      <c r="C1501">
        <v>13.85</v>
      </c>
    </row>
    <row r="1502" spans="1:3">
      <c r="A1502">
        <v>8074</v>
      </c>
      <c r="B1502" t="s">
        <v>1797</v>
      </c>
      <c r="C1502">
        <v>25.15</v>
      </c>
    </row>
    <row r="1503" spans="1:3">
      <c r="A1503">
        <v>8076</v>
      </c>
      <c r="B1503" t="s">
        <v>1798</v>
      </c>
      <c r="C1503">
        <v>95.4</v>
      </c>
    </row>
    <row r="1504" spans="1:3">
      <c r="A1504">
        <v>8077</v>
      </c>
      <c r="B1504" t="s">
        <v>1799</v>
      </c>
      <c r="C1504">
        <v>59.4</v>
      </c>
    </row>
    <row r="1505" spans="1:3">
      <c r="A1505">
        <v>8079</v>
      </c>
      <c r="B1505" t="s">
        <v>1800</v>
      </c>
      <c r="C1505">
        <v>12.55</v>
      </c>
    </row>
    <row r="1506" spans="1:3">
      <c r="A1506">
        <v>8080</v>
      </c>
      <c r="B1506" t="s">
        <v>509</v>
      </c>
      <c r="C1506">
        <v>14.4</v>
      </c>
    </row>
    <row r="1507" spans="1:3">
      <c r="A1507">
        <v>8082</v>
      </c>
      <c r="B1507" t="s">
        <v>510</v>
      </c>
      <c r="C1507">
        <v>2.7</v>
      </c>
    </row>
    <row r="1508" spans="1:3">
      <c r="A1508">
        <v>8083</v>
      </c>
      <c r="B1508" t="s">
        <v>511</v>
      </c>
      <c r="C1508">
        <v>136</v>
      </c>
    </row>
    <row r="1509" spans="1:3">
      <c r="A1509">
        <v>8084</v>
      </c>
      <c r="B1509" t="s">
        <v>1801</v>
      </c>
      <c r="C1509">
        <v>23.5</v>
      </c>
    </row>
    <row r="1510" spans="1:3">
      <c r="A1510">
        <v>8085</v>
      </c>
      <c r="B1510" t="s">
        <v>512</v>
      </c>
      <c r="C1510">
        <v>4.5</v>
      </c>
    </row>
    <row r="1511" spans="1:3">
      <c r="A1511">
        <v>8086</v>
      </c>
      <c r="B1511" t="s">
        <v>1802</v>
      </c>
      <c r="C1511">
        <v>73.400000000000006</v>
      </c>
    </row>
    <row r="1512" spans="1:3">
      <c r="A1512">
        <v>8087</v>
      </c>
      <c r="B1512" t="s">
        <v>513</v>
      </c>
      <c r="C1512">
        <v>0</v>
      </c>
    </row>
    <row r="1513" spans="1:3">
      <c r="A1513">
        <v>8088</v>
      </c>
      <c r="B1513" t="s">
        <v>514</v>
      </c>
      <c r="C1513">
        <v>16.850000000000001</v>
      </c>
    </row>
    <row r="1514" spans="1:3">
      <c r="A1514">
        <v>8091</v>
      </c>
      <c r="B1514" t="s">
        <v>1803</v>
      </c>
      <c r="C1514">
        <v>61.1</v>
      </c>
    </row>
    <row r="1515" spans="1:3">
      <c r="A1515">
        <v>8092</v>
      </c>
      <c r="B1515" t="s">
        <v>1804</v>
      </c>
      <c r="C1515">
        <v>8.4499999999999993</v>
      </c>
    </row>
    <row r="1516" spans="1:3">
      <c r="A1516">
        <v>8093</v>
      </c>
      <c r="B1516" t="s">
        <v>1805</v>
      </c>
      <c r="C1516">
        <v>5.34</v>
      </c>
    </row>
    <row r="1517" spans="1:3">
      <c r="A1517">
        <v>8096</v>
      </c>
      <c r="B1517" t="s">
        <v>1806</v>
      </c>
      <c r="C1517">
        <v>29.5</v>
      </c>
    </row>
    <row r="1518" spans="1:3">
      <c r="A1518">
        <v>8097</v>
      </c>
      <c r="B1518" t="s">
        <v>1807</v>
      </c>
      <c r="C1518">
        <v>12.7</v>
      </c>
    </row>
    <row r="1519" spans="1:3">
      <c r="A1519">
        <v>8099</v>
      </c>
      <c r="B1519" t="s">
        <v>1808</v>
      </c>
      <c r="C1519">
        <v>17.100000000000001</v>
      </c>
    </row>
    <row r="1520" spans="1:3">
      <c r="A1520">
        <v>8107</v>
      </c>
      <c r="B1520" t="s">
        <v>515</v>
      </c>
      <c r="C1520">
        <v>18.850000000000001</v>
      </c>
    </row>
    <row r="1521" spans="1:3">
      <c r="A1521">
        <v>8109</v>
      </c>
      <c r="B1521" t="s">
        <v>1809</v>
      </c>
      <c r="C1521">
        <v>63.6</v>
      </c>
    </row>
    <row r="1522" spans="1:3">
      <c r="A1522">
        <v>8111</v>
      </c>
      <c r="B1522" t="s">
        <v>1810</v>
      </c>
      <c r="C1522">
        <v>4.47</v>
      </c>
    </row>
    <row r="1523" spans="1:3">
      <c r="A1523">
        <v>8121</v>
      </c>
      <c r="B1523" t="s">
        <v>1811</v>
      </c>
      <c r="C1523">
        <v>15</v>
      </c>
    </row>
    <row r="1524" spans="1:3">
      <c r="A1524">
        <v>8147</v>
      </c>
      <c r="B1524" t="s">
        <v>1812</v>
      </c>
      <c r="C1524">
        <v>54</v>
      </c>
    </row>
    <row r="1525" spans="1:3">
      <c r="A1525">
        <v>8155</v>
      </c>
      <c r="B1525" t="s">
        <v>1813</v>
      </c>
      <c r="C1525">
        <v>18.100000000000001</v>
      </c>
    </row>
    <row r="1526" spans="1:3">
      <c r="A1526">
        <v>8171</v>
      </c>
      <c r="B1526" t="s">
        <v>1814</v>
      </c>
      <c r="C1526">
        <v>8.19</v>
      </c>
    </row>
    <row r="1527" spans="1:3">
      <c r="A1527">
        <v>8176</v>
      </c>
      <c r="B1527" t="s">
        <v>1815</v>
      </c>
      <c r="C1527">
        <v>8.1</v>
      </c>
    </row>
    <row r="1528" spans="1:3">
      <c r="A1528">
        <v>8182</v>
      </c>
      <c r="B1528" t="s">
        <v>1816</v>
      </c>
      <c r="C1528">
        <v>12.45</v>
      </c>
    </row>
    <row r="1529" spans="1:3">
      <c r="A1529">
        <v>8183</v>
      </c>
      <c r="B1529" t="s">
        <v>1817</v>
      </c>
      <c r="C1529">
        <v>5.4</v>
      </c>
    </row>
    <row r="1530" spans="1:3">
      <c r="A1530">
        <v>8234</v>
      </c>
      <c r="B1530" t="s">
        <v>516</v>
      </c>
      <c r="C1530">
        <v>28.6</v>
      </c>
    </row>
    <row r="1531" spans="1:3">
      <c r="A1531">
        <v>8240</v>
      </c>
      <c r="B1531" t="s">
        <v>1818</v>
      </c>
      <c r="C1531">
        <v>20.3</v>
      </c>
    </row>
    <row r="1532" spans="1:3">
      <c r="A1532">
        <v>8255</v>
      </c>
      <c r="B1532" t="s">
        <v>1819</v>
      </c>
      <c r="C1532">
        <v>104.5</v>
      </c>
    </row>
    <row r="1533" spans="1:3">
      <c r="A1533">
        <v>8266</v>
      </c>
      <c r="B1533" t="s">
        <v>1820</v>
      </c>
      <c r="C1533">
        <v>30.65</v>
      </c>
    </row>
    <row r="1534" spans="1:3">
      <c r="A1534">
        <v>8277</v>
      </c>
      <c r="B1534" t="s">
        <v>1821</v>
      </c>
      <c r="C1534">
        <v>7.55</v>
      </c>
    </row>
    <row r="1535" spans="1:3">
      <c r="A1535">
        <v>8287</v>
      </c>
      <c r="B1535" t="s">
        <v>1822</v>
      </c>
      <c r="C1535">
        <v>16</v>
      </c>
    </row>
    <row r="1536" spans="1:3">
      <c r="A1536">
        <v>8289</v>
      </c>
      <c r="B1536" t="s">
        <v>1823</v>
      </c>
      <c r="C1536">
        <v>10.6</v>
      </c>
    </row>
    <row r="1537" spans="1:3">
      <c r="A1537">
        <v>8291</v>
      </c>
      <c r="B1537" t="s">
        <v>1824</v>
      </c>
      <c r="C1537">
        <v>5.3</v>
      </c>
    </row>
    <row r="1538" spans="1:3">
      <c r="A1538">
        <v>8299</v>
      </c>
      <c r="B1538" t="s">
        <v>1825</v>
      </c>
      <c r="C1538">
        <v>252</v>
      </c>
    </row>
    <row r="1539" spans="1:3">
      <c r="A1539">
        <v>8349</v>
      </c>
      <c r="B1539" t="s">
        <v>1826</v>
      </c>
      <c r="C1539">
        <v>82</v>
      </c>
    </row>
    <row r="1540" spans="1:3">
      <c r="A1540">
        <v>8354</v>
      </c>
      <c r="B1540" t="s">
        <v>1827</v>
      </c>
      <c r="C1540">
        <v>14.9</v>
      </c>
    </row>
    <row r="1541" spans="1:3">
      <c r="A1541">
        <v>8358</v>
      </c>
      <c r="B1541" t="s">
        <v>1828</v>
      </c>
      <c r="C1541">
        <v>8.6999999999999993</v>
      </c>
    </row>
    <row r="1542" spans="1:3">
      <c r="A1542">
        <v>8383</v>
      </c>
      <c r="B1542" t="s">
        <v>517</v>
      </c>
      <c r="C1542">
        <v>51.9</v>
      </c>
    </row>
    <row r="1543" spans="1:3">
      <c r="A1543">
        <v>8390</v>
      </c>
      <c r="B1543" t="s">
        <v>1829</v>
      </c>
      <c r="C1543">
        <v>15.25</v>
      </c>
    </row>
    <row r="1544" spans="1:3">
      <c r="A1544">
        <v>8401</v>
      </c>
      <c r="B1544" t="s">
        <v>1830</v>
      </c>
      <c r="C1544">
        <v>12</v>
      </c>
    </row>
    <row r="1545" spans="1:3">
      <c r="A1545">
        <v>8403</v>
      </c>
      <c r="B1545" t="s">
        <v>1831</v>
      </c>
      <c r="C1545">
        <v>40.65</v>
      </c>
    </row>
    <row r="1546" spans="1:3">
      <c r="A1546">
        <v>8406</v>
      </c>
      <c r="B1546" t="s">
        <v>1832</v>
      </c>
      <c r="C1546">
        <v>372</v>
      </c>
    </row>
    <row r="1547" spans="1:3">
      <c r="A1547">
        <v>8409</v>
      </c>
      <c r="B1547" t="s">
        <v>1833</v>
      </c>
      <c r="C1547">
        <v>31.25</v>
      </c>
    </row>
    <row r="1548" spans="1:3">
      <c r="A1548">
        <v>8410</v>
      </c>
      <c r="B1548" t="s">
        <v>518</v>
      </c>
      <c r="C1548">
        <v>20.95</v>
      </c>
    </row>
    <row r="1549" spans="1:3">
      <c r="A1549">
        <v>8416</v>
      </c>
      <c r="B1549" t="s">
        <v>519</v>
      </c>
      <c r="C1549">
        <v>102</v>
      </c>
    </row>
    <row r="1550" spans="1:3">
      <c r="A1550">
        <v>8418</v>
      </c>
      <c r="B1550" t="s">
        <v>1834</v>
      </c>
      <c r="C1550">
        <v>16.95</v>
      </c>
    </row>
    <row r="1551" spans="1:3">
      <c r="A1551">
        <v>8420</v>
      </c>
      <c r="B1551" t="s">
        <v>520</v>
      </c>
      <c r="C1551">
        <v>22</v>
      </c>
    </row>
    <row r="1552" spans="1:3">
      <c r="A1552">
        <v>8421</v>
      </c>
      <c r="B1552" t="s">
        <v>521</v>
      </c>
      <c r="C1552">
        <v>12.5</v>
      </c>
    </row>
    <row r="1553" spans="1:3">
      <c r="A1553">
        <v>8423</v>
      </c>
      <c r="B1553" t="s">
        <v>1835</v>
      </c>
      <c r="C1553">
        <v>23.55</v>
      </c>
    </row>
    <row r="1554" spans="1:3">
      <c r="A1554">
        <v>8424</v>
      </c>
      <c r="B1554" t="s">
        <v>522</v>
      </c>
      <c r="C1554">
        <v>39.1</v>
      </c>
    </row>
    <row r="1555" spans="1:3">
      <c r="A1555">
        <v>8426</v>
      </c>
      <c r="B1555" t="s">
        <v>1836</v>
      </c>
      <c r="C1555">
        <v>28.3</v>
      </c>
    </row>
    <row r="1556" spans="1:3">
      <c r="A1556">
        <v>8431</v>
      </c>
      <c r="B1556" t="s">
        <v>523</v>
      </c>
      <c r="C1556">
        <v>51.4</v>
      </c>
    </row>
    <row r="1557" spans="1:3">
      <c r="A1557">
        <v>8432</v>
      </c>
      <c r="B1557" t="s">
        <v>524</v>
      </c>
      <c r="C1557">
        <v>56.5</v>
      </c>
    </row>
    <row r="1558" spans="1:3">
      <c r="A1558">
        <v>8433</v>
      </c>
      <c r="B1558" t="s">
        <v>525</v>
      </c>
      <c r="C1558">
        <v>121</v>
      </c>
    </row>
    <row r="1559" spans="1:3">
      <c r="A1559">
        <v>8435</v>
      </c>
      <c r="B1559" t="s">
        <v>526</v>
      </c>
      <c r="C1559">
        <v>47</v>
      </c>
    </row>
    <row r="1560" spans="1:3">
      <c r="A1560">
        <v>8436</v>
      </c>
      <c r="B1560" t="s">
        <v>1837</v>
      </c>
      <c r="C1560">
        <v>91.1</v>
      </c>
    </row>
    <row r="1561" spans="1:3">
      <c r="A1561">
        <v>8437</v>
      </c>
      <c r="B1561" t="s">
        <v>1838</v>
      </c>
      <c r="C1561">
        <v>137</v>
      </c>
    </row>
    <row r="1562" spans="1:3">
      <c r="A1562">
        <v>8444</v>
      </c>
      <c r="B1562" t="s">
        <v>1898</v>
      </c>
      <c r="C1562">
        <v>60</v>
      </c>
    </row>
    <row r="1563" spans="1:3">
      <c r="A1563">
        <v>8446</v>
      </c>
      <c r="B1563" t="s">
        <v>1839</v>
      </c>
      <c r="C1563">
        <v>94</v>
      </c>
    </row>
    <row r="1564" spans="1:3">
      <c r="A1564">
        <v>8450</v>
      </c>
      <c r="B1564" t="s">
        <v>527</v>
      </c>
      <c r="C1564">
        <v>77.599999999999994</v>
      </c>
    </row>
    <row r="1565" spans="1:3">
      <c r="A1565">
        <v>8905</v>
      </c>
      <c r="B1565" t="s">
        <v>1840</v>
      </c>
      <c r="C1565">
        <v>14.8</v>
      </c>
    </row>
    <row r="1566" spans="1:3">
      <c r="A1566">
        <v>8906</v>
      </c>
      <c r="B1566" t="s">
        <v>1841</v>
      </c>
      <c r="C1566">
        <v>0</v>
      </c>
    </row>
    <row r="1567" spans="1:3">
      <c r="A1567">
        <v>8908</v>
      </c>
      <c r="B1567" t="s">
        <v>528</v>
      </c>
      <c r="C1567">
        <v>36.5</v>
      </c>
    </row>
    <row r="1568" spans="1:3">
      <c r="A1568">
        <v>8913</v>
      </c>
      <c r="B1568" t="s">
        <v>529</v>
      </c>
      <c r="C1568">
        <v>14.8</v>
      </c>
    </row>
    <row r="1569" spans="1:3">
      <c r="A1569">
        <v>8916</v>
      </c>
      <c r="B1569" t="s">
        <v>530</v>
      </c>
      <c r="C1569">
        <v>45.9</v>
      </c>
    </row>
    <row r="1570" spans="1:3">
      <c r="A1570">
        <v>8917</v>
      </c>
      <c r="B1570" t="s">
        <v>531</v>
      </c>
      <c r="C1570">
        <v>0</v>
      </c>
    </row>
    <row r="1571" spans="1:3">
      <c r="A1571">
        <v>8921</v>
      </c>
      <c r="B1571" t="s">
        <v>1842</v>
      </c>
      <c r="C1571">
        <v>17.2</v>
      </c>
    </row>
    <row r="1572" spans="1:3">
      <c r="A1572">
        <v>8923</v>
      </c>
      <c r="B1572" t="s">
        <v>1843</v>
      </c>
      <c r="C1572">
        <v>0</v>
      </c>
    </row>
    <row r="1573" spans="1:3">
      <c r="A1573">
        <v>8924</v>
      </c>
      <c r="B1573" t="s">
        <v>1844</v>
      </c>
      <c r="C1573">
        <v>19.149999999999999</v>
      </c>
    </row>
    <row r="1574" spans="1:3">
      <c r="A1574">
        <v>8927</v>
      </c>
      <c r="B1574" t="s">
        <v>532</v>
      </c>
      <c r="C1574">
        <v>9.6</v>
      </c>
    </row>
    <row r="1575" spans="1:3">
      <c r="A1575">
        <v>8928</v>
      </c>
      <c r="B1575" t="s">
        <v>533</v>
      </c>
      <c r="C1575">
        <v>38.85</v>
      </c>
    </row>
    <row r="1576" spans="1:3">
      <c r="A1576">
        <v>8929</v>
      </c>
      <c r="B1576" t="s">
        <v>534</v>
      </c>
      <c r="C1576">
        <v>24.05</v>
      </c>
    </row>
    <row r="1577" spans="1:3">
      <c r="A1577">
        <v>8930</v>
      </c>
      <c r="B1577" t="s">
        <v>535</v>
      </c>
      <c r="C1577">
        <v>9</v>
      </c>
    </row>
    <row r="1578" spans="1:3">
      <c r="A1578">
        <v>8931</v>
      </c>
      <c r="B1578" t="s">
        <v>1846</v>
      </c>
      <c r="C1578">
        <v>19.5</v>
      </c>
    </row>
    <row r="1579" spans="1:3">
      <c r="A1579">
        <v>8932</v>
      </c>
      <c r="B1579" t="s">
        <v>1847</v>
      </c>
      <c r="C1579">
        <v>8.9600000000000009</v>
      </c>
    </row>
    <row r="1580" spans="1:3">
      <c r="A1580">
        <v>8933</v>
      </c>
      <c r="B1580" t="s">
        <v>1848</v>
      </c>
      <c r="C1580">
        <v>17.5</v>
      </c>
    </row>
    <row r="1581" spans="1:3">
      <c r="A1581">
        <v>8934</v>
      </c>
      <c r="B1581" t="s">
        <v>1849</v>
      </c>
      <c r="C1581">
        <v>0</v>
      </c>
    </row>
    <row r="1582" spans="1:3">
      <c r="A1582">
        <v>8935</v>
      </c>
      <c r="B1582" t="s">
        <v>536</v>
      </c>
      <c r="C1582">
        <v>6.3</v>
      </c>
    </row>
    <row r="1583" spans="1:3">
      <c r="A1583">
        <v>8936</v>
      </c>
      <c r="B1583" t="s">
        <v>1850</v>
      </c>
      <c r="C1583">
        <v>35.049999999999997</v>
      </c>
    </row>
    <row r="1584" spans="1:3">
      <c r="A1584">
        <v>8937</v>
      </c>
      <c r="B1584" t="s">
        <v>1851</v>
      </c>
      <c r="C1584">
        <v>12.7</v>
      </c>
    </row>
    <row r="1585" spans="1:3">
      <c r="A1585">
        <v>8938</v>
      </c>
      <c r="B1585" t="s">
        <v>537</v>
      </c>
      <c r="C1585">
        <v>20.9</v>
      </c>
    </row>
    <row r="1586" spans="1:3">
      <c r="A1586">
        <v>8941</v>
      </c>
      <c r="B1586" t="s">
        <v>538</v>
      </c>
      <c r="C1586">
        <v>92</v>
      </c>
    </row>
    <row r="1587" spans="1:3">
      <c r="A1587">
        <v>8942</v>
      </c>
      <c r="B1587" t="s">
        <v>1852</v>
      </c>
      <c r="C1587">
        <v>93.7</v>
      </c>
    </row>
    <row r="1588" spans="1:3">
      <c r="A1588">
        <v>911613</v>
      </c>
      <c r="B1588" t="s">
        <v>1853</v>
      </c>
      <c r="C1588">
        <v>0</v>
      </c>
    </row>
    <row r="1589" spans="1:3">
      <c r="A1589">
        <v>9949</v>
      </c>
      <c r="B1589" t="s">
        <v>539</v>
      </c>
      <c r="C1589">
        <v>14.75</v>
      </c>
    </row>
    <row r="1590" spans="1:3">
      <c r="A1590">
        <v>9950</v>
      </c>
      <c r="B1590" t="s">
        <v>1854</v>
      </c>
      <c r="C1590">
        <v>19.7</v>
      </c>
    </row>
    <row r="1591" spans="1:3">
      <c r="A1591">
        <v>9951</v>
      </c>
      <c r="B1591" t="s">
        <v>1855</v>
      </c>
      <c r="C1591">
        <v>169</v>
      </c>
    </row>
    <row r="1592" spans="1:3">
      <c r="A1592">
        <v>9960</v>
      </c>
      <c r="B1592" t="s">
        <v>540</v>
      </c>
      <c r="C1592">
        <v>19</v>
      </c>
    </row>
    <row r="1593" spans="1:3">
      <c r="A1593">
        <v>9962</v>
      </c>
      <c r="B1593" t="s">
        <v>1856</v>
      </c>
      <c r="C1593">
        <v>7.72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autoPict="0" r:id="rId4">
            <anchor moveWithCells="1">
              <from>
                <xdr:col>1</xdr:col>
                <xdr:colOff>38100</xdr:colOff>
                <xdr:row>0</xdr:row>
                <xdr:rowOff>19050</xdr:rowOff>
              </from>
              <to>
                <xdr:col>1</xdr:col>
                <xdr:colOff>895350</xdr:colOff>
                <xdr:row>0</xdr:row>
                <xdr:rowOff>400050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紅綠燈"/>
  <dimension ref="A1:AE340"/>
  <sheetViews>
    <sheetView tabSelected="1"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45" sqref="F45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.75" hidden="1" customWidth="1"/>
    <col min="15" max="22" width="7.625" customWidth="1"/>
    <col min="23" max="24" width="6.25" hidden="1" customWidth="1"/>
    <col min="25" max="25" width="1.5" customWidth="1"/>
    <col min="26" max="26" width="1.125" customWidth="1"/>
    <col min="27" max="27" width="5.5" style="63" hidden="1" customWidth="1"/>
    <col min="28" max="28" width="18.875" customWidth="1"/>
    <col min="29" max="29" width="21.125" customWidth="1"/>
    <col min="30" max="30" width="9.75" customWidth="1"/>
  </cols>
  <sheetData>
    <row r="1" spans="1:31" ht="27.95" customHeight="1" thickBot="1">
      <c r="A1" s="291" t="s">
        <v>2329</v>
      </c>
      <c r="B1" s="292" t="s">
        <v>2334</v>
      </c>
      <c r="C1" s="293">
        <v>13</v>
      </c>
      <c r="D1" s="1"/>
      <c r="E1" s="1"/>
      <c r="F1" s="1"/>
      <c r="G1" s="13"/>
      <c r="H1" s="1"/>
      <c r="I1" s="1"/>
      <c r="J1" s="2"/>
      <c r="M1" s="8"/>
      <c r="N1" s="212"/>
      <c r="O1" s="295">
        <v>1</v>
      </c>
      <c r="P1" s="296">
        <v>1</v>
      </c>
      <c r="Q1" s="296">
        <v>0</v>
      </c>
      <c r="R1" s="296">
        <v>1</v>
      </c>
      <c r="S1" s="297">
        <v>0</v>
      </c>
      <c r="T1" s="298" t="str">
        <f>"    合計 " &amp; SUM(O1:S1) &amp; " 分    "</f>
        <v xml:space="preserve">    合計 3 分    </v>
      </c>
      <c r="U1" s="299"/>
      <c r="V1" s="300"/>
      <c r="W1" s="211"/>
      <c r="X1" s="211"/>
      <c r="Y1" s="210"/>
      <c r="Z1" s="8"/>
      <c r="AA1" s="217" t="s">
        <v>546</v>
      </c>
      <c r="AB1" s="74"/>
      <c r="AC1" s="74"/>
      <c r="AD1" s="75"/>
    </row>
    <row r="2" spans="1:31" ht="24" customHeight="1">
      <c r="A2" s="124"/>
      <c r="B2" s="146" t="s">
        <v>1885</v>
      </c>
      <c r="C2" s="41"/>
      <c r="D2" s="1"/>
      <c r="E2" s="125"/>
      <c r="F2" s="334" t="s">
        <v>1896</v>
      </c>
      <c r="G2" s="334"/>
      <c r="H2" s="334"/>
      <c r="I2" s="334"/>
      <c r="J2" s="126"/>
      <c r="M2" s="8"/>
      <c r="N2" s="213" t="s">
        <v>0</v>
      </c>
      <c r="O2" s="223" t="s">
        <v>1</v>
      </c>
      <c r="P2" s="224" t="s">
        <v>2</v>
      </c>
      <c r="Q2" s="224" t="s">
        <v>3</v>
      </c>
      <c r="R2" s="224" t="s">
        <v>4</v>
      </c>
      <c r="S2" s="224" t="s">
        <v>5</v>
      </c>
      <c r="T2" s="224" t="s">
        <v>6</v>
      </c>
      <c r="U2" s="224" t="s">
        <v>7</v>
      </c>
      <c r="V2" s="225" t="s">
        <v>8</v>
      </c>
      <c r="W2" s="341" t="s">
        <v>9</v>
      </c>
      <c r="X2" s="341"/>
      <c r="Y2" s="203"/>
      <c r="Z2" s="8"/>
      <c r="AA2" s="218">
        <v>1570</v>
      </c>
      <c r="AB2" s="157"/>
      <c r="AC2" s="158"/>
      <c r="AD2" s="159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M3" s="8"/>
      <c r="N3" s="214" t="s">
        <v>224</v>
      </c>
      <c r="O3" s="226">
        <f>VLOOKUP("營業收入淨額",$B$40:$L$500,9,0)</f>
        <v>9302</v>
      </c>
      <c r="P3" s="203">
        <f>VLOOKUP("營業收入淨額",$B$40:$L$500,8,0)</f>
        <v>6858</v>
      </c>
      <c r="Q3" s="203">
        <f>VLOOKUP("營業收入淨額",$B$40:$L$500,7,0)</f>
        <v>9975</v>
      </c>
      <c r="R3" s="203">
        <f>VLOOKUP("營業收入淨額",$B$40:$L$500,6,0)</f>
        <v>12088</v>
      </c>
      <c r="S3" s="203">
        <f>VLOOKUP("營業收入淨額",$B$40:$L$500,5,0)</f>
        <v>16889</v>
      </c>
      <c r="T3" s="203">
        <f>VLOOKUP("營業收入淨額",$B$40:$L$500,4,0)</f>
        <v>10567</v>
      </c>
      <c r="U3" s="203">
        <f>VLOOKUP("營業收入淨額",$B$40:$L$500,3,0)</f>
        <v>13776</v>
      </c>
      <c r="V3" s="227">
        <f>VLOOKUP("營業收入淨額",$B$40:$L$500,2,0)</f>
        <v>16086</v>
      </c>
      <c r="W3" s="203">
        <f>MAX(O3:V3)</f>
        <v>16889</v>
      </c>
      <c r="X3" s="203"/>
      <c r="Y3" s="203"/>
      <c r="Z3" s="8"/>
      <c r="AA3" s="218">
        <v>2108</v>
      </c>
      <c r="AB3" s="160"/>
      <c r="AC3" s="71"/>
      <c r="AD3" s="131"/>
    </row>
    <row r="4" spans="1:31">
      <c r="A4" s="4"/>
      <c r="B4" s="261"/>
      <c r="C4" s="5"/>
      <c r="D4" s="8"/>
      <c r="E4" s="5"/>
      <c r="F4" s="326"/>
      <c r="G4" s="326"/>
      <c r="H4" s="326"/>
      <c r="I4" s="326"/>
      <c r="J4" s="6"/>
      <c r="M4" s="8"/>
      <c r="N4" s="214" t="s">
        <v>11</v>
      </c>
      <c r="O4" s="226">
        <f>VLOOKUP("營業成本",$B$40:$L$500,9,0)</f>
        <v>4811</v>
      </c>
      <c r="P4" s="203">
        <f>VLOOKUP("營業成本",$B$40:$L$500,8,0)</f>
        <v>3045</v>
      </c>
      <c r="Q4" s="203">
        <f>VLOOKUP("營業成本",$B$40:$L$500,7,0)</f>
        <v>4170</v>
      </c>
      <c r="R4" s="203">
        <f>VLOOKUP("營業成本",$B$40:$L$500,6,0)</f>
        <v>5743</v>
      </c>
      <c r="S4" s="203">
        <f>VLOOKUP("營業成本",$B$40:$L$500,5,0)</f>
        <v>8333</v>
      </c>
      <c r="T4" s="203">
        <f>VLOOKUP("營業成本",$B$40:$L$500,4,0)</f>
        <v>4574</v>
      </c>
      <c r="U4" s="203">
        <f>VLOOKUP("營業成本",$B$40:$L$500,3,0)</f>
        <v>5825</v>
      </c>
      <c r="V4" s="227">
        <f>VLOOKUP("營業成本",$B$40:$L$500,2,0)</f>
        <v>7222</v>
      </c>
      <c r="W4" s="203"/>
      <c r="X4" s="203"/>
      <c r="Y4" s="203"/>
      <c r="Z4" s="8"/>
      <c r="AA4" s="218">
        <v>2313</v>
      </c>
      <c r="AB4" s="160"/>
      <c r="AC4" s="71"/>
      <c r="AD4" s="131"/>
      <c r="AE4" s="69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M5" s="8"/>
      <c r="N5" s="214" t="s">
        <v>226</v>
      </c>
      <c r="O5" s="226">
        <f>VLOOKUP("營業利益",$B$40:$L$500,9,0)</f>
        <v>3813</v>
      </c>
      <c r="P5" s="203">
        <f>VLOOKUP("營業利益",$B$40:$L$500,8,0)</f>
        <v>3213</v>
      </c>
      <c r="Q5" s="203">
        <f>VLOOKUP("營業利益",$B$40:$L$500,7,0)</f>
        <v>5124</v>
      </c>
      <c r="R5" s="203">
        <f>VLOOKUP("營業利益",$B$40:$L$500,6,0)</f>
        <v>5407</v>
      </c>
      <c r="S5" s="203">
        <f>VLOOKUP("營業利益",$B$40:$L$500,5,0)</f>
        <v>7322</v>
      </c>
      <c r="T5" s="203">
        <f>VLOOKUP("營業利益",$B$40:$L$500,4,0)</f>
        <v>5181</v>
      </c>
      <c r="U5" s="203">
        <f>VLOOKUP("營業利益",$B$40:$L$500,3,0)</f>
        <v>7106</v>
      </c>
      <c r="V5" s="227">
        <f>VLOOKUP("營業利益",$B$40:$L$500,2,0)</f>
        <v>7416</v>
      </c>
      <c r="W5" s="203"/>
      <c r="X5" s="203"/>
      <c r="Y5" s="203"/>
      <c r="Z5" s="8"/>
      <c r="AA5" s="219">
        <v>2329</v>
      </c>
      <c r="AB5" s="160"/>
      <c r="AC5" s="72"/>
      <c r="AD5" s="131"/>
    </row>
    <row r="6" spans="1:31">
      <c r="A6" s="4"/>
      <c r="B6" s="261"/>
      <c r="C6" s="5"/>
      <c r="D6" s="8"/>
      <c r="E6" s="5"/>
      <c r="F6" s="326"/>
      <c r="G6" s="326"/>
      <c r="H6" s="326"/>
      <c r="I6" s="326"/>
      <c r="J6" s="6"/>
      <c r="M6" s="8"/>
      <c r="N6" s="214" t="s">
        <v>12</v>
      </c>
      <c r="O6" s="226">
        <f>VLOOKUP("營業外收入合計",$B$40:$L$500,9,0)</f>
        <v>308</v>
      </c>
      <c r="P6" s="203">
        <f>VLOOKUP("營業外收入合計",$B$40:$L$500,8,0)</f>
        <v>333</v>
      </c>
      <c r="Q6" s="203">
        <f>VLOOKUP("營業外收入合計",$B$40:$L$500,7,0)</f>
        <v>-79</v>
      </c>
      <c r="R6" s="203">
        <f>VLOOKUP("營業外收入合計",$B$40:$L$500,6,0)</f>
        <v>582</v>
      </c>
      <c r="S6" s="203">
        <f>VLOOKUP("營業外收入合計",$B$40:$L$500,5,0)</f>
        <v>1065</v>
      </c>
      <c r="T6" s="203">
        <f>VLOOKUP("營業外收入合計",$B$40:$L$500,4,0)</f>
        <v>129</v>
      </c>
      <c r="U6" s="203">
        <f>VLOOKUP("營業外收入合計",$B$40:$L$500,3,0)</f>
        <v>173</v>
      </c>
      <c r="V6" s="227">
        <f>VLOOKUP("營業外收入合計",$B$40:$L$500,2,0)</f>
        <v>1281</v>
      </c>
      <c r="W6" s="203"/>
      <c r="X6" s="203"/>
      <c r="Y6" s="203"/>
      <c r="Z6" s="8"/>
      <c r="AA6" s="218">
        <v>2344</v>
      </c>
      <c r="AB6" s="161"/>
      <c r="AC6" s="72"/>
      <c r="AD6" s="131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M7" s="8"/>
      <c r="N7" s="214" t="s">
        <v>205</v>
      </c>
      <c r="O7" s="226">
        <f>VLOOKUP("稅前淨利",$B$40:$L$500,9,0)</f>
        <v>4104</v>
      </c>
      <c r="P7" s="203">
        <f>VLOOKUP("稅前淨利",$B$40:$L$500,8,0)</f>
        <v>3527</v>
      </c>
      <c r="Q7" s="203">
        <f>VLOOKUP("稅前淨利",$B$40:$L$500,7,0)</f>
        <v>5013</v>
      </c>
      <c r="R7" s="203">
        <f>VLOOKUP("稅前淨利",$B$40:$L$500,6,0)</f>
        <v>6036</v>
      </c>
      <c r="S7" s="203">
        <f>VLOOKUP("稅前淨利",$B$40:$L$500,5,0)</f>
        <v>8387</v>
      </c>
      <c r="T7" s="203">
        <f>VLOOKUP("稅前淨利",$B$40:$L$500,4,0)</f>
        <v>5082</v>
      </c>
      <c r="U7" s="203">
        <f>VLOOKUP("稅前淨利",$B$40:$L$500,3,0)</f>
        <v>6972</v>
      </c>
      <c r="V7" s="227">
        <f>VLOOKUP("稅前淨利",$B$40:$L$500,2,0)</f>
        <v>9219</v>
      </c>
      <c r="W7" s="203"/>
      <c r="X7" s="203"/>
      <c r="Y7" s="203"/>
      <c r="Z7" s="8"/>
      <c r="AA7" s="218">
        <v>2397</v>
      </c>
      <c r="AB7" s="160"/>
      <c r="AC7" s="72"/>
      <c r="AD7" s="131"/>
    </row>
    <row r="8" spans="1:31">
      <c r="A8" s="4"/>
      <c r="B8" s="261"/>
      <c r="C8" s="5"/>
      <c r="D8" s="8"/>
      <c r="E8" s="5"/>
      <c r="F8" s="326"/>
      <c r="G8" s="326"/>
      <c r="H8" s="326"/>
      <c r="I8" s="326"/>
      <c r="J8" s="6"/>
      <c r="M8" s="8"/>
      <c r="N8" s="214" t="s">
        <v>13</v>
      </c>
      <c r="O8" s="226">
        <f>VLOOKUP("本期稅後淨利",$B$40:$L$500,9,0)</f>
        <v>3405</v>
      </c>
      <c r="P8" s="203">
        <f>VLOOKUP("本期稅後淨利",$B$40:$L$500,8,0)</f>
        <v>3000</v>
      </c>
      <c r="Q8" s="203">
        <f>VLOOKUP("本期稅後淨利",$B$40:$L$500,7,0)</f>
        <v>3722</v>
      </c>
      <c r="R8" s="203">
        <f>VLOOKUP("本期稅後淨利",$B$40:$L$500,6,0)</f>
        <v>5286</v>
      </c>
      <c r="S8" s="203">
        <f>VLOOKUP("本期稅後淨利",$B$40:$L$500,5,0)</f>
        <v>7431</v>
      </c>
      <c r="T8" s="203">
        <f>VLOOKUP("本期稅後淨利",$B$40:$L$500,4,0)</f>
        <v>4407</v>
      </c>
      <c r="U8" s="203">
        <f>VLOOKUP("本期稅後淨利",$B$40:$L$500,3,0)</f>
        <v>4824</v>
      </c>
      <c r="V8" s="227">
        <f>VLOOKUP("本期稅後淨利",$B$40:$L$500,2,0)</f>
        <v>8206</v>
      </c>
      <c r="W8" s="203"/>
      <c r="X8" s="203"/>
      <c r="Y8" s="203"/>
      <c r="Z8" s="8"/>
      <c r="AA8" s="218">
        <v>2433</v>
      </c>
      <c r="AB8" s="160"/>
      <c r="AC8" s="71"/>
      <c r="AD8" s="131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M9" s="8"/>
      <c r="N9" s="214" t="s">
        <v>14</v>
      </c>
      <c r="O9" s="226">
        <f>VLOOKUP("每股盈餘 (元)",$B$40:$L$500,9,0)</f>
        <v>25.38</v>
      </c>
      <c r="P9" s="203">
        <f>VLOOKUP("每股盈餘 (元)",$B$40:$L$500,8,0)</f>
        <v>22.36</v>
      </c>
      <c r="Q9" s="203">
        <f>VLOOKUP("每股盈餘 (元)",$B$40:$L$500,7,0)</f>
        <v>27.75</v>
      </c>
      <c r="R9" s="203">
        <f>VLOOKUP("每股盈餘 (元)",$B$40:$L$500,6,0)</f>
        <v>39.4</v>
      </c>
      <c r="S9" s="203">
        <f>VLOOKUP("每股盈餘 (元)",$B$40:$L$500,5,0)</f>
        <v>55.4</v>
      </c>
      <c r="T9" s="203">
        <f>VLOOKUP("每股盈餘 (元)",$B$40:$L$500,4,0)</f>
        <v>32.86</v>
      </c>
      <c r="U9" s="203">
        <f>VLOOKUP("每股盈餘 (元)",$B$40:$L$500,3,0)</f>
        <v>35.96</v>
      </c>
      <c r="V9" s="227">
        <f>VLOOKUP("每股盈餘 (元)",$B$40:$L$500,2,0)</f>
        <v>61.17</v>
      </c>
      <c r="W9" s="203">
        <f>MAX(R9:V9)</f>
        <v>61.17</v>
      </c>
      <c r="X9" s="203"/>
      <c r="Y9" s="203"/>
      <c r="Z9" s="8"/>
      <c r="AA9" s="218">
        <v>2637</v>
      </c>
      <c r="AB9" s="160"/>
      <c r="AC9" s="73"/>
      <c r="AD9" s="132"/>
    </row>
    <row r="10" spans="1:31">
      <c r="A10" s="4"/>
      <c r="B10" s="261"/>
      <c r="C10" s="5"/>
      <c r="D10" s="8"/>
      <c r="E10" s="5"/>
      <c r="F10" s="326"/>
      <c r="G10" s="326"/>
      <c r="H10" s="326"/>
      <c r="I10" s="326"/>
      <c r="J10" s="6"/>
      <c r="M10" s="8"/>
      <c r="N10" s="214" t="s">
        <v>225</v>
      </c>
      <c r="O10" s="226">
        <f>VLOOKUP(" 應收帳款及票據",$B$40:$L$500,9,0)</f>
        <v>6823</v>
      </c>
      <c r="P10" s="203">
        <f>VLOOKUP(" 應收帳款及票據",$B$40:$L$500,8,0)</f>
        <v>4459</v>
      </c>
      <c r="Q10" s="203">
        <f>VLOOKUP(" 應收帳款及票據",$B$40:$L$500,7,0)</f>
        <v>8223</v>
      </c>
      <c r="R10" s="203">
        <f>VLOOKUP(" 應收帳款及票據",$B$40:$L$500,6,0)</f>
        <v>10685</v>
      </c>
      <c r="S10" s="203">
        <f>VLOOKUP(" 應收帳款及票據",$B$40:$L$500,5,0)</f>
        <v>13338</v>
      </c>
      <c r="T10" s="203">
        <f>VLOOKUP(" 應收帳款及票據",$B$40:$L$500,4,0)</f>
        <v>8213</v>
      </c>
      <c r="U10" s="203">
        <f>VLOOKUP(" 應收帳款及票據",$B$40:$L$500,3,0)</f>
        <v>10634</v>
      </c>
      <c r="V10" s="227">
        <f>VLOOKUP(" 應收帳款及票據",$B$40:$L$500,2,0)</f>
        <v>13049</v>
      </c>
      <c r="W10" s="203"/>
      <c r="X10" s="203"/>
      <c r="Y10" s="203"/>
      <c r="Z10" s="8"/>
      <c r="AA10" s="218">
        <v>3023</v>
      </c>
      <c r="AB10" s="160"/>
      <c r="AC10" s="73"/>
      <c r="AD10" s="131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M11" s="8"/>
      <c r="N11" s="214" t="s">
        <v>15</v>
      </c>
      <c r="O11" s="226">
        <f>VLOOKUP(" 存貨",$B$40:$L$500,9,0)</f>
        <v>2693</v>
      </c>
      <c r="P11" s="203">
        <f>VLOOKUP(" 存貨",$B$40:$L$500,8,0)</f>
        <v>2707</v>
      </c>
      <c r="Q11" s="203">
        <f>VLOOKUP(" 存貨",$B$40:$L$500,7,0)</f>
        <v>2387</v>
      </c>
      <c r="R11" s="203">
        <f>VLOOKUP(" 存貨",$B$40:$L$500,6,0)</f>
        <v>3140</v>
      </c>
      <c r="S11" s="203">
        <f>VLOOKUP(" 存貨",$B$40:$L$500,5,0)</f>
        <v>3538</v>
      </c>
      <c r="T11" s="203">
        <f>VLOOKUP(" 存貨",$B$40:$L$500,4,0)</f>
        <v>4859</v>
      </c>
      <c r="U11" s="203">
        <f>VLOOKUP(" 存貨",$B$40:$L$500,3,0)</f>
        <v>4397</v>
      </c>
      <c r="V11" s="227">
        <f>VLOOKUP(" 存貨",$B$40:$L$500,2,0)</f>
        <v>4458</v>
      </c>
      <c r="W11" s="203"/>
      <c r="X11" s="203"/>
      <c r="Y11" s="203"/>
      <c r="Z11" s="8"/>
      <c r="AA11" s="218">
        <v>3499</v>
      </c>
      <c r="AB11" s="160"/>
      <c r="AC11" s="73"/>
      <c r="AD11" s="132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M12" s="8"/>
      <c r="N12" s="214" t="s">
        <v>16</v>
      </c>
      <c r="O12" s="226">
        <f>VLOOKUP(" 應付帳款及票據",$B$40:$L$500,9,0)</f>
        <v>2507</v>
      </c>
      <c r="P12" s="203">
        <f>VLOOKUP(" 應付帳款及票據",$B$40:$L$500,8,0)</f>
        <v>1112</v>
      </c>
      <c r="Q12" s="203">
        <f>VLOOKUP(" 應付帳款及票據",$B$40:$L$500,7,0)</f>
        <v>1625</v>
      </c>
      <c r="R12" s="203">
        <f>VLOOKUP(" 應付帳款及票據",$B$40:$L$500,6,0)</f>
        <v>4079</v>
      </c>
      <c r="S12" s="203">
        <f>VLOOKUP(" 應付帳款及票據",$B$40:$L$500,5,0)</f>
        <v>4999</v>
      </c>
      <c r="T12" s="203">
        <f>VLOOKUP(" 應付帳款及票據",$B$40:$L$500,4,0)</f>
        <v>3310</v>
      </c>
      <c r="U12" s="203">
        <f>VLOOKUP(" 應付帳款及票據",$B$40:$L$500,3,0)</f>
        <v>3548</v>
      </c>
      <c r="V12" s="227">
        <f>VLOOKUP(" 應付帳款及票據",$B$40:$L$500,2,0)</f>
        <v>3964</v>
      </c>
      <c r="W12" s="203"/>
      <c r="X12" s="203"/>
      <c r="Y12" s="203"/>
      <c r="Z12" s="8"/>
      <c r="AA12" s="218">
        <v>4935</v>
      </c>
      <c r="AB12" s="162"/>
      <c r="AC12" s="163"/>
      <c r="AD12" s="16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M13" s="8"/>
      <c r="N13" s="214" t="s">
        <v>17</v>
      </c>
      <c r="O13" s="226">
        <f>VLOOKUP("負債總額",$B$40:$L$500,9,0)</f>
        <v>8168</v>
      </c>
      <c r="P13" s="203">
        <f>VLOOKUP("負債總額",$B$40:$L$500,8,0)</f>
        <v>7345</v>
      </c>
      <c r="Q13" s="203">
        <f>VLOOKUP("負債總額",$B$40:$L$500,7,0)</f>
        <v>12639</v>
      </c>
      <c r="R13" s="203">
        <f>VLOOKUP("負債總額",$B$40:$L$500,6,0)</f>
        <v>11953</v>
      </c>
      <c r="S13" s="203">
        <f>VLOOKUP("負債總額",$B$40:$L$500,5,0)</f>
        <v>14855</v>
      </c>
      <c r="T13" s="203">
        <f>VLOOKUP("負債總額",$B$40:$L$500,4,0)</f>
        <v>18105</v>
      </c>
      <c r="U13" s="203">
        <f>VLOOKUP("負債總額",$B$40:$L$500,3,0)</f>
        <v>27684</v>
      </c>
      <c r="V13" s="227">
        <f>VLOOKUP("負債總額",$B$40:$L$500,2,0)</f>
        <v>20611</v>
      </c>
      <c r="W13" s="203"/>
      <c r="X13" s="203"/>
      <c r="Y13" s="203"/>
      <c r="Z13" s="8"/>
      <c r="AA13" s="218"/>
      <c r="AB13" s="155"/>
      <c r="AC13" s="156"/>
      <c r="AD13" s="155"/>
    </row>
    <row r="14" spans="1:31" ht="24" customHeight="1">
      <c r="A14" s="40"/>
      <c r="B14" s="146" t="s">
        <v>1893</v>
      </c>
      <c r="C14" s="41"/>
      <c r="D14" s="8"/>
      <c r="E14" s="41"/>
      <c r="F14" s="335" t="s">
        <v>1895</v>
      </c>
      <c r="G14" s="335"/>
      <c r="H14" s="335"/>
      <c r="I14" s="335"/>
      <c r="J14" s="42"/>
      <c r="M14" s="8"/>
      <c r="N14" s="214" t="s">
        <v>18</v>
      </c>
      <c r="O14" s="226">
        <f>VLOOKUP("資產總額",$B$40:$L$500,9,0)</f>
        <v>38614</v>
      </c>
      <c r="P14" s="203">
        <f>VLOOKUP("資產總額",$B$40:$L$500,8,0)</f>
        <v>40801</v>
      </c>
      <c r="Q14" s="203">
        <f>VLOOKUP("資產總額",$B$40:$L$500,7,0)</f>
        <v>45952</v>
      </c>
      <c r="R14" s="203">
        <f>VLOOKUP("資產總額",$B$40:$L$500,6,0)</f>
        <v>50614</v>
      </c>
      <c r="S14" s="203">
        <f>VLOOKUP("資產總額",$B$40:$L$500,5,0)</f>
        <v>61054</v>
      </c>
      <c r="T14" s="203">
        <f>VLOOKUP("資產總額",$B$40:$L$500,4,0)</f>
        <v>68672</v>
      </c>
      <c r="U14" s="203">
        <f>VLOOKUP("資產總額",$B$40:$L$500,3,0)</f>
        <v>76145</v>
      </c>
      <c r="V14" s="227">
        <f>VLOOKUP("資產總額",$B$40:$L$500,2,0)</f>
        <v>77431</v>
      </c>
      <c r="W14" s="203"/>
      <c r="X14" s="203"/>
      <c r="Y14" s="203"/>
      <c r="Z14" s="8"/>
      <c r="AA14" s="218">
        <v>8049</v>
      </c>
      <c r="AB14" s="165"/>
      <c r="AC14" s="196"/>
      <c r="AD14" s="166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M15" s="8"/>
      <c r="N15" s="214" t="s">
        <v>19</v>
      </c>
      <c r="O15" s="226">
        <f>VLOOKUP("來自營運之現金流量",$B$40:$L$500,9,0)</f>
        <v>4591</v>
      </c>
      <c r="P15" s="203">
        <f>VLOOKUP("來自營運之現金流量",$B$40:$L$500,8,0)</f>
        <v>4967</v>
      </c>
      <c r="Q15" s="203">
        <f>VLOOKUP("來自營運之現金流量",$B$40:$L$500,7,0)</f>
        <v>1774</v>
      </c>
      <c r="R15" s="203">
        <f>VLOOKUP("來自營運之現金流量",$B$40:$L$500,6,0)</f>
        <v>5052</v>
      </c>
      <c r="S15" s="203">
        <f>VLOOKUP("來自營運之現金流量",$B$40:$L$500,5,0)</f>
        <v>7895</v>
      </c>
      <c r="T15" s="203">
        <f>VLOOKUP("來自營運之現金流量",$B$40:$L$500,4,0)</f>
        <v>8022</v>
      </c>
      <c r="U15" s="203">
        <f>VLOOKUP("來自營運之現金流量",$B$40:$L$500,3,0)</f>
        <v>4286</v>
      </c>
      <c r="V15" s="227">
        <f>VLOOKUP("來自營運之現金流量",$B$40:$L$500,2,0)</f>
        <v>6380</v>
      </c>
      <c r="W15" s="205">
        <f>AVERAGE(R15:V15)</f>
        <v>6327</v>
      </c>
      <c r="X15" s="205">
        <f>AVERAGE(U15:V15)</f>
        <v>5333</v>
      </c>
      <c r="Y15" s="203"/>
      <c r="Z15" s="8"/>
      <c r="AA15" s="218">
        <v>2345</v>
      </c>
      <c r="AB15" s="167"/>
      <c r="AC15" s="195"/>
      <c r="AD15" s="168"/>
    </row>
    <row r="16" spans="1:31">
      <c r="A16" s="4"/>
      <c r="B16" s="261"/>
      <c r="C16" s="5"/>
      <c r="D16" s="8"/>
      <c r="E16" s="5"/>
      <c r="F16" s="326"/>
      <c r="G16" s="326"/>
      <c r="H16" s="326"/>
      <c r="I16" s="326"/>
      <c r="J16" s="6"/>
      <c r="M16" s="8"/>
      <c r="N16" s="214" t="s">
        <v>20</v>
      </c>
      <c r="O16" s="226">
        <v>788</v>
      </c>
      <c r="P16" s="203">
        <v>340</v>
      </c>
      <c r="Q16" s="203">
        <v>375</v>
      </c>
      <c r="R16" s="203">
        <v>870</v>
      </c>
      <c r="S16" s="203">
        <v>3625</v>
      </c>
      <c r="T16" s="203">
        <v>692</v>
      </c>
      <c r="U16" s="203">
        <v>874</v>
      </c>
      <c r="V16" s="227">
        <v>1001</v>
      </c>
      <c r="W16" s="205">
        <f>MAX(O16:V16)</f>
        <v>3625</v>
      </c>
      <c r="X16" s="205">
        <f>AVERAGE(U16:V16)</f>
        <v>937.5</v>
      </c>
      <c r="Y16" s="203"/>
      <c r="Z16" s="8"/>
      <c r="AA16" s="218">
        <v>5536</v>
      </c>
      <c r="AB16" s="167"/>
      <c r="AC16" s="170"/>
      <c r="AD16" s="168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M17" s="8"/>
      <c r="N17" s="214" t="s">
        <v>21</v>
      </c>
      <c r="O17" s="226">
        <v>0</v>
      </c>
      <c r="P17" s="203">
        <v>0</v>
      </c>
      <c r="Q17" s="203">
        <v>0</v>
      </c>
      <c r="R17" s="203">
        <v>0</v>
      </c>
      <c r="S17" s="203">
        <v>0</v>
      </c>
      <c r="T17" s="203">
        <v>0</v>
      </c>
      <c r="U17" s="203">
        <v>0</v>
      </c>
      <c r="V17" s="227">
        <v>0</v>
      </c>
      <c r="W17" s="203"/>
      <c r="X17" s="203"/>
      <c r="Y17" s="203"/>
      <c r="Z17" s="8"/>
      <c r="AA17" s="218">
        <v>2329</v>
      </c>
      <c r="AB17" s="171"/>
      <c r="AC17" s="172"/>
      <c r="AD17" s="169"/>
    </row>
    <row r="18" spans="1:30">
      <c r="A18" s="4"/>
      <c r="B18" s="261"/>
      <c r="C18" s="5"/>
      <c r="D18" s="8"/>
      <c r="E18" s="5"/>
      <c r="F18" s="326"/>
      <c r="G18" s="326"/>
      <c r="H18" s="326"/>
      <c r="I18" s="326"/>
      <c r="J18" s="6"/>
      <c r="M18" s="8"/>
      <c r="N18" s="214" t="s">
        <v>22</v>
      </c>
      <c r="O18" s="226">
        <f>VLOOKUP(" 折舊",$B$40:$L$500,9,0)</f>
        <v>377</v>
      </c>
      <c r="P18" s="203">
        <f>VLOOKUP(" 折舊",$B$40:$L$500,8,0)</f>
        <v>391</v>
      </c>
      <c r="Q18" s="203">
        <f>VLOOKUP(" 折舊",$B$40:$L$500,7,0)</f>
        <v>393</v>
      </c>
      <c r="R18" s="203">
        <f>VLOOKUP(" 折舊",$B$40:$L$500,6,0)</f>
        <v>411</v>
      </c>
      <c r="S18" s="203">
        <f>VLOOKUP(" 折舊",$B$40:$L$500,5,0)</f>
        <v>452</v>
      </c>
      <c r="T18" s="203">
        <f>VLOOKUP(" 折舊",$B$40:$L$500,4,0)</f>
        <v>441</v>
      </c>
      <c r="U18" s="203">
        <f>VLOOKUP(" 折舊",$B$40:$L$500,3,0)</f>
        <v>453</v>
      </c>
      <c r="V18" s="227">
        <f>VLOOKUP(" 折舊",$B$40:$L$500,2,0)</f>
        <v>460</v>
      </c>
      <c r="W18" s="203"/>
      <c r="X18" s="203"/>
      <c r="Y18" s="203"/>
      <c r="Z18" s="8"/>
      <c r="AA18" s="218">
        <v>3511</v>
      </c>
      <c r="AB18" s="202"/>
      <c r="AC18" s="221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M19" s="8"/>
      <c r="N19" s="214" t="s">
        <v>23</v>
      </c>
      <c r="O19" s="228">
        <f>VLOOKUP(" 攤提",$B$40:$L$500,9,0)</f>
        <v>4</v>
      </c>
      <c r="P19" s="229">
        <f>VLOOKUP(" 攤提",$B$40:$L$500,8,0)</f>
        <v>3</v>
      </c>
      <c r="Q19" s="229">
        <f>VLOOKUP(" 攤提",$B$40:$L$500,7,0)</f>
        <v>4</v>
      </c>
      <c r="R19" s="229">
        <f>VLOOKUP(" 攤提",$B$40:$L$500,6,0)</f>
        <v>3</v>
      </c>
      <c r="S19" s="229">
        <f>VLOOKUP(" 攤提",$B$40:$L$500,5,0)</f>
        <v>4</v>
      </c>
      <c r="T19" s="229">
        <f>VLOOKUP(" 攤提",$B$40:$L$500,4,0)</f>
        <v>5</v>
      </c>
      <c r="U19" s="229">
        <f>VLOOKUP(" 攤提",$B$40:$L$500,3,0)</f>
        <v>5</v>
      </c>
      <c r="V19" s="230">
        <f>VLOOKUP(" 攤提",$B$40:$L$500,2,0)</f>
        <v>5</v>
      </c>
      <c r="W19" s="203"/>
      <c r="X19" s="203"/>
      <c r="Y19" s="203"/>
      <c r="Z19" s="8"/>
      <c r="AA19" s="218"/>
      <c r="AB19" s="7"/>
      <c r="AC19" s="116"/>
      <c r="AD19" s="9"/>
    </row>
    <row r="20" spans="1:30">
      <c r="A20" s="4"/>
      <c r="B20" s="261"/>
      <c r="C20" s="5"/>
      <c r="D20" s="8"/>
      <c r="E20" s="5"/>
      <c r="F20" s="326"/>
      <c r="G20" s="326"/>
      <c r="H20" s="326"/>
      <c r="I20" s="326"/>
      <c r="J20" s="6"/>
      <c r="M20" s="8"/>
      <c r="N20" s="214" t="s">
        <v>24</v>
      </c>
      <c r="O20" s="231">
        <f>VLOOKUP("股東權益總額",$B$40:$L$500,9,0)</f>
        <v>30445</v>
      </c>
      <c r="P20" s="232">
        <f>VLOOKUP("股東權益總額",$B$40:$L$500,8,0)</f>
        <v>33457</v>
      </c>
      <c r="Q20" s="232">
        <f>VLOOKUP("股東權益總額",$B$40:$L$500,7,0)</f>
        <v>33313</v>
      </c>
      <c r="R20" s="232">
        <f>VLOOKUP("股東權益總額",$B$40:$L$500,6,0)</f>
        <v>38661</v>
      </c>
      <c r="S20" s="232">
        <f>VLOOKUP("股東權益總額",$B$40:$L$500,5,0)</f>
        <v>46198</v>
      </c>
      <c r="T20" s="232">
        <f>VLOOKUP("股東權益總額",$B$40:$L$500,4,0)</f>
        <v>50566</v>
      </c>
      <c r="U20" s="232">
        <f>VLOOKUP("股東權益總額",$B$40:$L$500,3,0)</f>
        <v>48461</v>
      </c>
      <c r="V20" s="233">
        <f>VLOOKUP("股東權益總額",$B$40:$L$500,2,0)</f>
        <v>56819</v>
      </c>
      <c r="W20" s="203"/>
      <c r="X20" s="203"/>
      <c r="Y20" s="203"/>
      <c r="Z20" s="8"/>
      <c r="AA20" s="218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M21" s="8"/>
      <c r="N21" s="215" t="s">
        <v>198</v>
      </c>
      <c r="O21" s="234">
        <f>VLOOKUP(" 普通股股本",$B$40:$L$500,9,0)</f>
        <v>1341</v>
      </c>
      <c r="P21" s="204">
        <f>VLOOKUP(" 普通股股本",$B$40:$L$500,8,0)</f>
        <v>1341</v>
      </c>
      <c r="Q21" s="204">
        <f>VLOOKUP(" 普通股股本",$B$40:$L$500,7,0)</f>
        <v>1341</v>
      </c>
      <c r="R21" s="204">
        <f>VLOOKUP(" 普通股股本",$B$40:$L$500,6,0)</f>
        <v>1341</v>
      </c>
      <c r="S21" s="204">
        <f>VLOOKUP(" 普通股股本",$B$40:$L$500,5,0)</f>
        <v>1341</v>
      </c>
      <c r="T21" s="204">
        <f>VLOOKUP(" 普通股股本",$B$40:$L$500,4,0)</f>
        <v>1341</v>
      </c>
      <c r="U21" s="204">
        <f>VLOOKUP(" 普通股股本",$B$40:$L$500,3,0)</f>
        <v>1341</v>
      </c>
      <c r="V21" s="235">
        <f>VLOOKUP(" 普通股股本",$B$40:$L$500,2,0)</f>
        <v>1341</v>
      </c>
      <c r="W21" s="204"/>
      <c r="X21" s="204"/>
      <c r="Y21" s="204"/>
      <c r="Z21" s="8"/>
      <c r="AA21" s="218"/>
      <c r="AB21" s="7"/>
      <c r="AC21" s="8"/>
      <c r="AD21" s="9"/>
    </row>
    <row r="22" spans="1:30">
      <c r="A22" s="4"/>
      <c r="B22" s="261"/>
      <c r="C22" s="5"/>
      <c r="D22" s="8"/>
      <c r="E22" s="5"/>
      <c r="F22" s="326"/>
      <c r="G22" s="326"/>
      <c r="H22" s="326"/>
      <c r="I22" s="326"/>
      <c r="J22" s="6"/>
      <c r="M22" s="8"/>
      <c r="N22" s="214" t="s">
        <v>25</v>
      </c>
      <c r="O22" s="236">
        <f t="shared" ref="O22:V22" si="0">IF(ISNUMBER((O3-O4)/O3),(O3-O4)/O3,0)</f>
        <v>0.48279939797892929</v>
      </c>
      <c r="P22" s="237">
        <f t="shared" si="0"/>
        <v>0.55599300087489067</v>
      </c>
      <c r="Q22" s="237">
        <f t="shared" si="0"/>
        <v>0.58195488721804511</v>
      </c>
      <c r="R22" s="237">
        <f t="shared" si="0"/>
        <v>0.52490072799470544</v>
      </c>
      <c r="S22" s="237">
        <f t="shared" si="0"/>
        <v>0.50660193025045885</v>
      </c>
      <c r="T22" s="237">
        <f t="shared" si="0"/>
        <v>0.56714299233462662</v>
      </c>
      <c r="U22" s="237">
        <f t="shared" si="0"/>
        <v>0.57716318234610919</v>
      </c>
      <c r="V22" s="238">
        <f t="shared" si="0"/>
        <v>0.5510381698371255</v>
      </c>
      <c r="W22" s="342">
        <f>MIN(O22:V23)</f>
        <v>0.409911846914642</v>
      </c>
      <c r="X22" s="342">
        <f>MAX(O22:V23)</f>
        <v>0.58195488721804511</v>
      </c>
      <c r="Y22" s="203"/>
      <c r="Z22" s="8"/>
      <c r="AA22" s="218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M23" s="8"/>
      <c r="N23" s="214" t="s">
        <v>26</v>
      </c>
      <c r="O23" s="236">
        <f t="shared" ref="O23:V23" si="1">O5/O3</f>
        <v>0.409911846914642</v>
      </c>
      <c r="P23" s="237">
        <f t="shared" si="1"/>
        <v>0.46850393700787402</v>
      </c>
      <c r="Q23" s="237">
        <f t="shared" si="1"/>
        <v>0.51368421052631574</v>
      </c>
      <c r="R23" s="237">
        <f t="shared" si="1"/>
        <v>0.44730311052283256</v>
      </c>
      <c r="S23" s="237">
        <f t="shared" si="1"/>
        <v>0.4335366214695956</v>
      </c>
      <c r="T23" s="237">
        <f t="shared" si="1"/>
        <v>0.49029999053657614</v>
      </c>
      <c r="U23" s="237">
        <f t="shared" si="1"/>
        <v>0.51582462253193961</v>
      </c>
      <c r="V23" s="238">
        <f t="shared" si="1"/>
        <v>0.46102200671391275</v>
      </c>
      <c r="W23" s="342"/>
      <c r="X23" s="342"/>
      <c r="Y23" s="203"/>
      <c r="Z23" s="8"/>
      <c r="AA23" s="218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M24" s="8"/>
      <c r="N24" s="214" t="s">
        <v>27</v>
      </c>
      <c r="O24" s="236">
        <f t="shared" ref="O24:V24" si="2">O13/O14</f>
        <v>0.21152949707360025</v>
      </c>
      <c r="P24" s="237">
        <f t="shared" si="2"/>
        <v>0.18002009754662876</v>
      </c>
      <c r="Q24" s="237">
        <f t="shared" si="2"/>
        <v>0.27504787604456826</v>
      </c>
      <c r="R24" s="237">
        <f t="shared" si="2"/>
        <v>0.23615995574347018</v>
      </c>
      <c r="S24" s="237">
        <f t="shared" si="2"/>
        <v>0.24330920169030695</v>
      </c>
      <c r="T24" s="237">
        <f t="shared" si="2"/>
        <v>0.26364457129543334</v>
      </c>
      <c r="U24" s="237">
        <f t="shared" si="2"/>
        <v>0.36356950554862433</v>
      </c>
      <c r="V24" s="238">
        <f t="shared" si="2"/>
        <v>0.26618537794940011</v>
      </c>
      <c r="W24" s="206">
        <f>MIN(O24:V24)</f>
        <v>0.18002009754662876</v>
      </c>
      <c r="X24" s="206">
        <f>MAX(O24:V24)</f>
        <v>0.36356950554862433</v>
      </c>
      <c r="Y24" s="203"/>
      <c r="Z24" s="8"/>
      <c r="AA24" s="218"/>
      <c r="AB24" s="7"/>
      <c r="AC24" s="8"/>
      <c r="AD24" s="9"/>
    </row>
    <row r="25" spans="1:30" ht="5.0999999999999996" customHeight="1">
      <c r="A25" s="338"/>
      <c r="B25" s="339"/>
      <c r="C25" s="339"/>
      <c r="D25" s="339"/>
      <c r="E25" s="339"/>
      <c r="F25" s="339"/>
      <c r="G25" s="339"/>
      <c r="H25" s="339"/>
      <c r="I25" s="339"/>
      <c r="J25" s="340"/>
      <c r="M25" s="8"/>
      <c r="N25" s="214" t="s">
        <v>28</v>
      </c>
      <c r="O25" s="239">
        <f>P25</f>
        <v>54.225574712643677</v>
      </c>
      <c r="P25" s="240">
        <f t="shared" ref="P25:V25" si="3">IF(ISNUMBER(365/(P4*4/((O12+P12)/2))),365/(P4*4/((O12+P12)/2)),0)</f>
        <v>54.225574712643677</v>
      </c>
      <c r="Q25" s="240">
        <f t="shared" si="3"/>
        <v>29.946193045563547</v>
      </c>
      <c r="R25" s="240">
        <f t="shared" si="3"/>
        <v>45.31516628939579</v>
      </c>
      <c r="S25" s="240">
        <f t="shared" si="3"/>
        <v>49.704038161526462</v>
      </c>
      <c r="T25" s="240">
        <f t="shared" si="3"/>
        <v>82.88109422824661</v>
      </c>
      <c r="U25" s="240">
        <f t="shared" si="3"/>
        <v>53.716094420600861</v>
      </c>
      <c r="V25" s="241">
        <f t="shared" si="3"/>
        <v>47.457075602326228</v>
      </c>
      <c r="W25" s="207">
        <f>MIN(O25:V27)</f>
        <v>29.946193045563547</v>
      </c>
      <c r="X25" s="208">
        <f>MAX(O25:V27)</f>
        <v>93.050475537049309</v>
      </c>
      <c r="Y25" s="203"/>
      <c r="Z25" s="8"/>
      <c r="AA25" s="218"/>
      <c r="AB25" s="7"/>
      <c r="AC25" s="8"/>
      <c r="AD25" s="9"/>
    </row>
    <row r="26" spans="1:30" ht="24" customHeight="1">
      <c r="A26" s="127"/>
      <c r="B26" s="146" t="s">
        <v>1894</v>
      </c>
      <c r="C26" s="128"/>
      <c r="D26" s="123"/>
      <c r="E26" s="128"/>
      <c r="F26" s="335" t="s">
        <v>1886</v>
      </c>
      <c r="G26" s="335"/>
      <c r="H26" s="335"/>
      <c r="I26" s="335"/>
      <c r="J26" s="129"/>
      <c r="M26" s="8"/>
      <c r="N26" s="214" t="s">
        <v>29</v>
      </c>
      <c r="O26" s="242">
        <f>P26</f>
        <v>75.057050160396614</v>
      </c>
      <c r="P26" s="243">
        <f t="shared" ref="P26:V27" si="4">IF(ISNUMBER(365/(P3*4/((O10+P10)/2))),365/(P3*4/((O10+P10)/2)),0)</f>
        <v>75.057050160396614</v>
      </c>
      <c r="Q26" s="243">
        <f t="shared" si="4"/>
        <v>58.006641604010021</v>
      </c>
      <c r="R26" s="243">
        <f t="shared" si="4"/>
        <v>71.366437789543355</v>
      </c>
      <c r="S26" s="243">
        <f t="shared" si="4"/>
        <v>64.897233406359163</v>
      </c>
      <c r="T26" s="243">
        <f t="shared" si="4"/>
        <v>93.050475537049309</v>
      </c>
      <c r="U26" s="243">
        <f t="shared" si="4"/>
        <v>62.41974266840883</v>
      </c>
      <c r="V26" s="244">
        <f t="shared" si="4"/>
        <v>67.172502486634343</v>
      </c>
      <c r="W26" s="207"/>
      <c r="X26" s="208"/>
      <c r="Y26" s="203"/>
      <c r="Z26" s="8"/>
      <c r="AA26" s="218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M27" s="8"/>
      <c r="N27" s="214" t="s">
        <v>30</v>
      </c>
      <c r="O27" s="239">
        <f>P27</f>
        <v>80.911330049261082</v>
      </c>
      <c r="P27" s="240">
        <f t="shared" si="4"/>
        <v>80.911330049261082</v>
      </c>
      <c r="Q27" s="240">
        <f t="shared" si="4"/>
        <v>55.734712230215827</v>
      </c>
      <c r="R27" s="240">
        <f t="shared" si="4"/>
        <v>43.908997910499743</v>
      </c>
      <c r="S27" s="240">
        <f t="shared" si="4"/>
        <v>36.56351254050162</v>
      </c>
      <c r="T27" s="240">
        <f t="shared" si="4"/>
        <v>83.758881722780941</v>
      </c>
      <c r="U27" s="240">
        <f t="shared" si="4"/>
        <v>72.498712446351931</v>
      </c>
      <c r="V27" s="241">
        <f t="shared" si="4"/>
        <v>55.941480891719742</v>
      </c>
      <c r="W27" s="207"/>
      <c r="X27" s="208"/>
      <c r="Y27" s="203"/>
      <c r="Z27" s="8"/>
      <c r="AA27" s="218"/>
      <c r="AB27" s="7"/>
      <c r="AC27" s="8"/>
      <c r="AD27" s="9"/>
    </row>
    <row r="28" spans="1:30">
      <c r="A28" s="4"/>
      <c r="B28" s="261"/>
      <c r="C28" s="5"/>
      <c r="D28" s="8"/>
      <c r="E28" s="5"/>
      <c r="F28" s="326"/>
      <c r="G28" s="326"/>
      <c r="H28" s="326"/>
      <c r="I28" s="326"/>
      <c r="J28" s="6"/>
      <c r="M28" s="8"/>
      <c r="N28" s="214" t="s">
        <v>31</v>
      </c>
      <c r="O28" s="245">
        <f>O26+O27</f>
        <v>155.96838020965771</v>
      </c>
      <c r="P28" s="246">
        <f t="shared" ref="P28:V28" si="5">P26+P27</f>
        <v>155.96838020965771</v>
      </c>
      <c r="Q28" s="246">
        <f t="shared" si="5"/>
        <v>113.74135383422585</v>
      </c>
      <c r="R28" s="246">
        <f t="shared" si="5"/>
        <v>115.27543570004309</v>
      </c>
      <c r="S28" s="246">
        <f t="shared" si="5"/>
        <v>101.46074594686078</v>
      </c>
      <c r="T28" s="246">
        <f t="shared" si="5"/>
        <v>176.80935725983025</v>
      </c>
      <c r="U28" s="246">
        <f t="shared" si="5"/>
        <v>134.91845511476077</v>
      </c>
      <c r="V28" s="247">
        <f t="shared" si="5"/>
        <v>123.11398337835408</v>
      </c>
      <c r="W28" s="209">
        <f>MIN(O28:V28)</f>
        <v>101.46074594686078</v>
      </c>
      <c r="X28" s="206"/>
      <c r="Y28" s="203"/>
      <c r="Z28" s="8"/>
      <c r="AA28" s="218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M29" s="8"/>
      <c r="N29" s="214" t="s">
        <v>32</v>
      </c>
      <c r="O29" s="226">
        <f>O18+O19</f>
        <v>381</v>
      </c>
      <c r="P29" s="203">
        <f t="shared" ref="P29:V29" si="6">P18+P19</f>
        <v>394</v>
      </c>
      <c r="Q29" s="203">
        <f t="shared" si="6"/>
        <v>397</v>
      </c>
      <c r="R29" s="203">
        <f t="shared" si="6"/>
        <v>414</v>
      </c>
      <c r="S29" s="203">
        <f t="shared" si="6"/>
        <v>456</v>
      </c>
      <c r="T29" s="203">
        <f t="shared" si="6"/>
        <v>446</v>
      </c>
      <c r="U29" s="203">
        <f t="shared" si="6"/>
        <v>458</v>
      </c>
      <c r="V29" s="227">
        <f t="shared" si="6"/>
        <v>465</v>
      </c>
      <c r="W29" s="203"/>
      <c r="X29" s="203"/>
      <c r="Y29" s="203"/>
      <c r="Z29" s="8"/>
      <c r="AA29" s="218"/>
      <c r="AB29" s="7"/>
      <c r="AC29" s="8"/>
      <c r="AD29" s="9"/>
    </row>
    <row r="30" spans="1:30">
      <c r="A30" s="4"/>
      <c r="B30" s="261"/>
      <c r="C30" s="5"/>
      <c r="D30" s="8"/>
      <c r="E30" s="5"/>
      <c r="F30" s="326"/>
      <c r="G30" s="326"/>
      <c r="H30" s="326"/>
      <c r="I30" s="326"/>
      <c r="J30" s="6"/>
      <c r="M30" s="8"/>
      <c r="N30" s="214" t="s">
        <v>33</v>
      </c>
      <c r="O30" s="236">
        <f>P30</f>
        <v>8.8123462312681727E-2</v>
      </c>
      <c r="P30" s="237">
        <f t="shared" ref="P30:V30" si="7">P29/(IF(P3-O3&gt;0,P3,O4)-P16)</f>
        <v>8.8123462312681727E-2</v>
      </c>
      <c r="Q30" s="237">
        <f t="shared" si="7"/>
        <v>4.1354166666666664E-2</v>
      </c>
      <c r="R30" s="237">
        <f t="shared" si="7"/>
        <v>3.6904974148689609E-2</v>
      </c>
      <c r="S30" s="237">
        <f t="shared" si="7"/>
        <v>3.4378769601930037E-2</v>
      </c>
      <c r="T30" s="237">
        <f t="shared" si="7"/>
        <v>5.8369323386991231E-2</v>
      </c>
      <c r="U30" s="237">
        <f t="shared" si="7"/>
        <v>3.5498372345372807E-2</v>
      </c>
      <c r="V30" s="238">
        <f t="shared" si="7"/>
        <v>3.0825323168710641E-2</v>
      </c>
      <c r="W30" s="203"/>
      <c r="X30" s="203"/>
      <c r="Y30" s="203"/>
      <c r="Z30" s="8"/>
      <c r="AA30" s="218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M31" s="8"/>
      <c r="N31" s="215" t="s">
        <v>227</v>
      </c>
      <c r="O31" s="248">
        <f t="shared" ref="O31:V31" si="8">O29/O4</f>
        <v>7.9193514861775102E-2</v>
      </c>
      <c r="P31" s="249">
        <f t="shared" si="8"/>
        <v>0.12939244663382593</v>
      </c>
      <c r="Q31" s="249">
        <f t="shared" si="8"/>
        <v>9.5203836930455629E-2</v>
      </c>
      <c r="R31" s="249">
        <f t="shared" si="8"/>
        <v>7.2087759010969879E-2</v>
      </c>
      <c r="S31" s="249">
        <f>S29/S4</f>
        <v>5.4722188887555499E-2</v>
      </c>
      <c r="T31" s="249">
        <f t="shared" si="8"/>
        <v>9.7507651945780496E-2</v>
      </c>
      <c r="U31" s="249">
        <f t="shared" si="8"/>
        <v>7.8626609442060083E-2</v>
      </c>
      <c r="V31" s="250">
        <f t="shared" si="8"/>
        <v>6.4386596510661864E-2</v>
      </c>
      <c r="W31" s="337">
        <f>AVERAGE(O32:V32)</f>
        <v>0.73583812592082343</v>
      </c>
      <c r="X31" s="337"/>
      <c r="Y31" s="203"/>
      <c r="Z31" s="8"/>
      <c r="AA31" s="218"/>
      <c r="AB31" s="7"/>
      <c r="AC31" s="8"/>
      <c r="AD31" s="9"/>
    </row>
    <row r="32" spans="1:30">
      <c r="A32" s="4"/>
      <c r="B32" s="261"/>
      <c r="C32" s="5"/>
      <c r="D32" s="8"/>
      <c r="E32" s="5"/>
      <c r="F32" s="326"/>
      <c r="G32" s="326"/>
      <c r="H32" s="326"/>
      <c r="I32" s="326"/>
      <c r="J32" s="6"/>
      <c r="M32" s="8"/>
      <c r="N32" s="336" t="s">
        <v>34</v>
      </c>
      <c r="O32" s="251">
        <f t="shared" ref="O32:V32" si="9">IF(O8&gt;0,IF(O15&gt;O8,IF(ISNUMBER(O15/O8),O15/O8,0),0),0)</f>
        <v>1.3483113069016153</v>
      </c>
      <c r="P32" s="252">
        <f t="shared" si="9"/>
        <v>1.6556666666666666</v>
      </c>
      <c r="Q32" s="252">
        <f t="shared" si="9"/>
        <v>0</v>
      </c>
      <c r="R32" s="252">
        <f t="shared" si="9"/>
        <v>0</v>
      </c>
      <c r="S32" s="252">
        <f t="shared" si="9"/>
        <v>1.0624411250168215</v>
      </c>
      <c r="T32" s="252">
        <f t="shared" si="9"/>
        <v>1.820285908781484</v>
      </c>
      <c r="U32" s="252">
        <f t="shared" si="9"/>
        <v>0</v>
      </c>
      <c r="V32" s="253">
        <f t="shared" si="9"/>
        <v>0</v>
      </c>
      <c r="W32" s="337"/>
      <c r="X32" s="337"/>
      <c r="Y32" s="203"/>
      <c r="Z32" s="8"/>
      <c r="AA32" s="218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M33" s="8"/>
      <c r="N33" s="336"/>
      <c r="O33" s="251">
        <f>$W$31</f>
        <v>0.73583812592082343</v>
      </c>
      <c r="P33" s="252">
        <f t="shared" ref="P33:V33" si="10">$W$31</f>
        <v>0.73583812592082343</v>
      </c>
      <c r="Q33" s="252">
        <f t="shared" si="10"/>
        <v>0.73583812592082343</v>
      </c>
      <c r="R33" s="252">
        <f t="shared" si="10"/>
        <v>0.73583812592082343</v>
      </c>
      <c r="S33" s="252">
        <f t="shared" si="10"/>
        <v>0.73583812592082343</v>
      </c>
      <c r="T33" s="252">
        <f t="shared" si="10"/>
        <v>0.73583812592082343</v>
      </c>
      <c r="U33" s="252">
        <f t="shared" si="10"/>
        <v>0.73583812592082343</v>
      </c>
      <c r="V33" s="253">
        <f t="shared" si="10"/>
        <v>0.73583812592082343</v>
      </c>
      <c r="W33" s="206"/>
      <c r="X33" s="206"/>
      <c r="Y33" s="203"/>
      <c r="Z33" s="8"/>
      <c r="AA33" s="218"/>
      <c r="AB33" s="7"/>
      <c r="AC33" s="8"/>
      <c r="AD33" s="9"/>
    </row>
    <row r="34" spans="1:31">
      <c r="A34" s="4"/>
      <c r="B34" s="261"/>
      <c r="C34" s="5"/>
      <c r="D34" s="8"/>
      <c r="E34" s="5"/>
      <c r="F34" s="326"/>
      <c r="G34" s="326"/>
      <c r="H34" s="326"/>
      <c r="I34" s="326"/>
      <c r="J34" s="6"/>
      <c r="M34" s="8"/>
      <c r="N34" s="215" t="s">
        <v>35</v>
      </c>
      <c r="O34" s="254">
        <f t="shared" ref="O34:V34" si="11">IF(O6&gt;0,IF((O7-O6)&gt;0,O5,0),MAX(O5,O7))</f>
        <v>3813</v>
      </c>
      <c r="P34" s="255">
        <f t="shared" si="11"/>
        <v>3213</v>
      </c>
      <c r="Q34" s="255">
        <f t="shared" si="11"/>
        <v>5124</v>
      </c>
      <c r="R34" s="255">
        <f t="shared" si="11"/>
        <v>5407</v>
      </c>
      <c r="S34" s="255">
        <f t="shared" si="11"/>
        <v>7322</v>
      </c>
      <c r="T34" s="255">
        <f t="shared" si="11"/>
        <v>5181</v>
      </c>
      <c r="U34" s="255">
        <f t="shared" si="11"/>
        <v>7106</v>
      </c>
      <c r="V34" s="256">
        <f t="shared" si="11"/>
        <v>7416</v>
      </c>
      <c r="W34" s="206"/>
      <c r="X34" s="206"/>
      <c r="Y34" s="203"/>
      <c r="Z34" s="8"/>
      <c r="AA34" s="218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M35" s="8"/>
      <c r="N35" s="215" t="s">
        <v>36</v>
      </c>
      <c r="O35" s="236">
        <f t="shared" ref="O35:U35" si="12">O34/O7</f>
        <v>0.92909356725146197</v>
      </c>
      <c r="P35" s="237">
        <f t="shared" si="12"/>
        <v>0.91097249787354695</v>
      </c>
      <c r="Q35" s="237">
        <f t="shared" si="12"/>
        <v>1.0221424296828248</v>
      </c>
      <c r="R35" s="237">
        <f t="shared" si="12"/>
        <v>0.89579191517561296</v>
      </c>
      <c r="S35" s="237">
        <f t="shared" si="12"/>
        <v>0.87301776558960298</v>
      </c>
      <c r="T35" s="237">
        <f t="shared" si="12"/>
        <v>1.0194805194805194</v>
      </c>
      <c r="U35" s="237">
        <f t="shared" si="12"/>
        <v>1.019219736087206</v>
      </c>
      <c r="V35" s="238">
        <f>IF(ISNUMBER(V6),V34/V7,1)</f>
        <v>0.80442564269443539</v>
      </c>
      <c r="W35" s="203"/>
      <c r="X35" s="203"/>
      <c r="Y35" s="203"/>
      <c r="Z35" s="8"/>
      <c r="AA35" s="218"/>
      <c r="AB35" s="7"/>
      <c r="AC35" s="8"/>
      <c r="AD35" s="9"/>
    </row>
    <row r="36" spans="1:31" ht="17.25" thickBot="1">
      <c r="A36" s="10"/>
      <c r="B36" s="11"/>
      <c r="C36" s="11"/>
      <c r="D36" s="118"/>
      <c r="E36" s="11"/>
      <c r="F36" s="11"/>
      <c r="G36" s="11"/>
      <c r="H36" s="11"/>
      <c r="I36" s="11"/>
      <c r="J36" s="12"/>
      <c r="M36" s="8"/>
      <c r="N36" s="216" t="s">
        <v>37</v>
      </c>
      <c r="O36" s="257"/>
      <c r="P36" s="258">
        <f>Q36</f>
        <v>0.21085981367044135</v>
      </c>
      <c r="Q36" s="258">
        <f>(Q8+P8)*2/(O20+Q20)</f>
        <v>0.21085981367044135</v>
      </c>
      <c r="R36" s="258">
        <f>((R8+Q8+P8)/3)*4/(O20+R20)</f>
        <v>0.23168272894779998</v>
      </c>
      <c r="S36" s="258">
        <f>(S8+R8+Q8+P8)/(O20+S20)</f>
        <v>0.25363046853593935</v>
      </c>
      <c r="T36" s="258">
        <f>(T8+S8+R8+Q8)/(P20+T20)</f>
        <v>0.24809873487021411</v>
      </c>
      <c r="U36" s="258">
        <f>(U8+T8+S8+R8)/(Q20+U20)</f>
        <v>0.26839826839826841</v>
      </c>
      <c r="V36" s="259">
        <f>(V8+U8+T8+S8)/(R20+V20)</f>
        <v>0.26045245077503143</v>
      </c>
      <c r="W36" s="204"/>
      <c r="X36" s="204"/>
      <c r="Y36" s="204"/>
      <c r="Z36" s="8"/>
      <c r="AA36" s="220"/>
      <c r="AB36" s="117"/>
      <c r="AC36" s="118"/>
      <c r="AD36" s="119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201" t="s">
        <v>47</v>
      </c>
      <c r="O37" s="130">
        <f>O15-O16</f>
        <v>3803</v>
      </c>
      <c r="P37" s="130">
        <f>P15-P16</f>
        <v>4627</v>
      </c>
      <c r="Q37" s="130">
        <f t="shared" ref="Q37:V37" si="13">Q15-Q16</f>
        <v>1399</v>
      </c>
      <c r="R37" s="130">
        <f t="shared" si="13"/>
        <v>4182</v>
      </c>
      <c r="S37" s="130">
        <f t="shared" si="13"/>
        <v>4270</v>
      </c>
      <c r="T37" s="130">
        <f t="shared" si="13"/>
        <v>7330</v>
      </c>
      <c r="U37" s="130">
        <f t="shared" si="13"/>
        <v>3412</v>
      </c>
      <c r="V37" s="130">
        <f t="shared" si="13"/>
        <v>5379</v>
      </c>
      <c r="W37" s="25"/>
      <c r="X37" s="25"/>
      <c r="Y37" s="25"/>
      <c r="Z37" s="8"/>
      <c r="AA37" s="133"/>
      <c r="AB37" s="8"/>
      <c r="AC37" s="8"/>
      <c r="AD37" s="8"/>
      <c r="AE37" s="8"/>
    </row>
    <row r="38" spans="1:31" s="3" customFormat="1" ht="17.25" thickBot="1">
      <c r="B38" s="3" t="s">
        <v>2330</v>
      </c>
      <c r="N38" s="198"/>
      <c r="O38" s="197"/>
      <c r="P38" s="197"/>
      <c r="Q38" s="197"/>
      <c r="R38" s="197"/>
      <c r="S38" s="197"/>
      <c r="T38" s="197"/>
      <c r="U38" s="197"/>
      <c r="V38" s="197"/>
      <c r="AA38" s="135"/>
    </row>
    <row r="39" spans="1:31" s="3" customFormat="1">
      <c r="B39" s="3" t="s">
        <v>48</v>
      </c>
    </row>
    <row r="40" spans="1:31" s="3" customFormat="1" ht="25.5">
      <c r="B40" s="3" t="s">
        <v>50</v>
      </c>
      <c r="C40" s="154" t="s">
        <v>2321</v>
      </c>
      <c r="D40" s="14" t="s">
        <v>229</v>
      </c>
      <c r="E40" s="14" t="s">
        <v>51</v>
      </c>
      <c r="F40" s="14" t="s">
        <v>52</v>
      </c>
      <c r="G40" s="14" t="s">
        <v>53</v>
      </c>
      <c r="H40" s="14" t="s">
        <v>54</v>
      </c>
      <c r="I40" s="14" t="s">
        <v>55</v>
      </c>
      <c r="J40" s="14" t="s">
        <v>56</v>
      </c>
    </row>
    <row r="41" spans="1:31" s="3" customFormat="1">
      <c r="B41" s="3" t="s">
        <v>10</v>
      </c>
      <c r="C41" s="14">
        <v>16086</v>
      </c>
      <c r="D41" s="14">
        <v>13776</v>
      </c>
      <c r="E41" s="14">
        <v>10567</v>
      </c>
      <c r="F41" s="14">
        <v>16889</v>
      </c>
      <c r="G41" s="14">
        <v>12088</v>
      </c>
      <c r="H41" s="14">
        <v>9975</v>
      </c>
      <c r="I41" s="14">
        <v>6858</v>
      </c>
      <c r="J41" s="14">
        <v>9302</v>
      </c>
    </row>
    <row r="42" spans="1:31" s="3" customFormat="1">
      <c r="B42" s="3" t="s">
        <v>11</v>
      </c>
      <c r="C42" s="14">
        <v>7222</v>
      </c>
      <c r="D42" s="14">
        <v>5825</v>
      </c>
      <c r="E42" s="14">
        <v>4574</v>
      </c>
      <c r="F42" s="14">
        <v>8333</v>
      </c>
      <c r="G42" s="14">
        <v>5743</v>
      </c>
      <c r="H42" s="14">
        <v>4170</v>
      </c>
      <c r="I42" s="14">
        <v>3045</v>
      </c>
      <c r="J42" s="14">
        <v>4811</v>
      </c>
      <c r="O42" s="136"/>
      <c r="P42" s="136"/>
      <c r="Q42" s="136"/>
      <c r="R42" s="136"/>
      <c r="S42" s="136"/>
      <c r="T42" s="136"/>
      <c r="U42" s="136"/>
      <c r="V42" s="136"/>
    </row>
    <row r="43" spans="1:31" s="3" customFormat="1">
      <c r="B43" s="3" t="s">
        <v>58</v>
      </c>
      <c r="C43" s="14">
        <v>8863</v>
      </c>
      <c r="D43" s="14">
        <v>7951</v>
      </c>
      <c r="E43" s="14">
        <v>5994</v>
      </c>
      <c r="F43" s="14">
        <v>8556</v>
      </c>
      <c r="G43" s="14">
        <v>6345</v>
      </c>
      <c r="H43" s="14">
        <v>5805</v>
      </c>
      <c r="I43" s="14">
        <v>3814</v>
      </c>
      <c r="J43" s="14">
        <v>4491</v>
      </c>
      <c r="O43" s="199"/>
      <c r="P43" s="199"/>
      <c r="Q43" s="199"/>
      <c r="R43" s="199"/>
      <c r="S43" s="199"/>
      <c r="T43" s="199"/>
      <c r="U43" s="199"/>
      <c r="V43" s="199"/>
    </row>
    <row r="44" spans="1:31" s="3" customFormat="1">
      <c r="B44" s="3" t="s">
        <v>59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</row>
    <row r="45" spans="1:31" s="3" customFormat="1">
      <c r="B45" s="3" t="s">
        <v>60</v>
      </c>
      <c r="C45" s="14">
        <v>8863</v>
      </c>
      <c r="D45" s="14">
        <v>7951</v>
      </c>
      <c r="E45" s="14">
        <v>5994</v>
      </c>
      <c r="F45" s="14">
        <v>8556</v>
      </c>
      <c r="G45" s="14">
        <v>6345</v>
      </c>
      <c r="H45" s="14">
        <v>5805</v>
      </c>
      <c r="I45" s="14">
        <v>3814</v>
      </c>
      <c r="J45" s="14">
        <v>4491</v>
      </c>
      <c r="N45" s="200"/>
      <c r="O45" s="273"/>
      <c r="P45" s="275"/>
      <c r="Q45" s="275"/>
      <c r="R45" s="275"/>
      <c r="S45" s="275"/>
      <c r="T45" s="275"/>
      <c r="U45" s="275"/>
      <c r="V45" s="275"/>
      <c r="W45" s="274"/>
      <c r="X45" s="274"/>
      <c r="Y45" s="274"/>
    </row>
    <row r="46" spans="1:31" s="3" customFormat="1">
      <c r="B46" s="3" t="s">
        <v>61</v>
      </c>
      <c r="C46" s="14">
        <v>1447</v>
      </c>
      <c r="D46" s="14">
        <v>845</v>
      </c>
      <c r="E46" s="14">
        <v>813</v>
      </c>
      <c r="F46" s="14">
        <v>1234</v>
      </c>
      <c r="G46" s="14">
        <v>938</v>
      </c>
      <c r="H46" s="14">
        <v>681</v>
      </c>
      <c r="I46" s="14">
        <v>601</v>
      </c>
      <c r="J46" s="14">
        <v>678</v>
      </c>
      <c r="N46" s="134"/>
    </row>
    <row r="47" spans="1:31" s="3" customFormat="1">
      <c r="B47" s="3" t="s">
        <v>62</v>
      </c>
      <c r="C47" s="14">
        <v>135</v>
      </c>
      <c r="D47" s="14">
        <v>93</v>
      </c>
      <c r="E47" s="14">
        <v>78</v>
      </c>
      <c r="F47" s="14">
        <v>144</v>
      </c>
      <c r="G47" s="14">
        <v>100</v>
      </c>
      <c r="H47" s="14">
        <v>65</v>
      </c>
      <c r="I47" s="14">
        <v>54</v>
      </c>
      <c r="J47" s="14">
        <v>64</v>
      </c>
      <c r="N47" s="134"/>
      <c r="O47" s="264"/>
      <c r="P47" s="264"/>
      <c r="Q47" s="264"/>
      <c r="R47" s="264"/>
      <c r="S47" s="264"/>
      <c r="T47" s="264"/>
      <c r="U47" s="264"/>
      <c r="V47" s="264"/>
    </row>
    <row r="48" spans="1:31" s="3" customFormat="1" ht="17.25" thickBot="1">
      <c r="B48" s="3" t="s">
        <v>63</v>
      </c>
      <c r="C48" s="14">
        <v>443</v>
      </c>
      <c r="D48" s="14">
        <v>236</v>
      </c>
      <c r="E48" s="14">
        <v>243</v>
      </c>
      <c r="F48" s="14">
        <v>397</v>
      </c>
      <c r="G48" s="14">
        <v>255</v>
      </c>
      <c r="H48" s="14">
        <v>185</v>
      </c>
      <c r="I48" s="14">
        <v>149</v>
      </c>
      <c r="J48" s="14">
        <v>218</v>
      </c>
      <c r="N48" s="134"/>
      <c r="O48" s="263"/>
      <c r="P48" s="136"/>
      <c r="Q48" s="136"/>
      <c r="R48" s="136"/>
      <c r="S48" s="136"/>
      <c r="T48" s="136"/>
      <c r="U48" s="136"/>
      <c r="V48" s="136"/>
    </row>
    <row r="49" spans="2:27" s="3" customFormat="1">
      <c r="B49" s="3" t="s">
        <v>64</v>
      </c>
      <c r="C49" s="14">
        <v>868</v>
      </c>
      <c r="D49" s="14">
        <v>516</v>
      </c>
      <c r="E49" s="14">
        <v>491</v>
      </c>
      <c r="F49" s="14">
        <v>692</v>
      </c>
      <c r="G49" s="14">
        <v>582</v>
      </c>
      <c r="H49" s="14">
        <v>431</v>
      </c>
      <c r="I49" s="14">
        <v>398</v>
      </c>
      <c r="J49" s="14">
        <v>396</v>
      </c>
      <c r="N49" s="120" t="s">
        <v>1942</v>
      </c>
      <c r="O49" s="327" t="s">
        <v>1944</v>
      </c>
      <c r="P49" s="327" t="s">
        <v>1945</v>
      </c>
      <c r="Q49" s="329" t="s">
        <v>1946</v>
      </c>
      <c r="R49" s="327" t="s">
        <v>1947</v>
      </c>
      <c r="S49" s="301" t="s">
        <v>1948</v>
      </c>
      <c r="T49" s="324" t="s">
        <v>1949</v>
      </c>
      <c r="U49" s="301" t="s">
        <v>1950</v>
      </c>
      <c r="V49" s="301" t="s">
        <v>1951</v>
      </c>
      <c r="W49" s="301" t="s">
        <v>1952</v>
      </c>
      <c r="X49" s="301" t="s">
        <v>1953</v>
      </c>
      <c r="Y49" s="301" t="s">
        <v>1954</v>
      </c>
      <c r="AA49" s="135"/>
    </row>
    <row r="50" spans="2:27" s="3" customFormat="1" ht="17.25" thickBot="1">
      <c r="B50" s="3" t="s">
        <v>65</v>
      </c>
      <c r="C50" s="14">
        <v>7416</v>
      </c>
      <c r="D50" s="14">
        <v>7106</v>
      </c>
      <c r="E50" s="14">
        <v>5181</v>
      </c>
      <c r="F50" s="14">
        <v>7322</v>
      </c>
      <c r="G50" s="14">
        <v>5407</v>
      </c>
      <c r="H50" s="14">
        <v>5124</v>
      </c>
      <c r="I50" s="14">
        <v>3213</v>
      </c>
      <c r="J50" s="14">
        <v>3813</v>
      </c>
      <c r="N50" s="121" t="s">
        <v>1943</v>
      </c>
      <c r="O50" s="328"/>
      <c r="P50" s="328"/>
      <c r="Q50" s="330"/>
      <c r="R50" s="328"/>
      <c r="S50" s="302"/>
      <c r="T50" s="325"/>
      <c r="U50" s="302"/>
      <c r="V50" s="302"/>
      <c r="W50" s="302"/>
      <c r="X50" s="302"/>
      <c r="Y50" s="302"/>
      <c r="AA50" s="135"/>
    </row>
    <row r="51" spans="2:27" s="3" customFormat="1" ht="57">
      <c r="B51" s="3" t="s">
        <v>66</v>
      </c>
      <c r="C51" s="14">
        <v>80</v>
      </c>
      <c r="D51" s="14">
        <v>99</v>
      </c>
      <c r="E51" s="14">
        <v>85</v>
      </c>
      <c r="F51" s="14">
        <v>64</v>
      </c>
      <c r="G51" s="14">
        <v>62</v>
      </c>
      <c r="H51" s="14">
        <v>72</v>
      </c>
      <c r="I51" s="14">
        <v>57</v>
      </c>
      <c r="J51" s="14">
        <v>38</v>
      </c>
      <c r="N51" s="137" t="s">
        <v>2332</v>
      </c>
      <c r="O51" s="303">
        <v>0.51111111111111118</v>
      </c>
      <c r="P51" s="306">
        <v>2500</v>
      </c>
      <c r="Q51" s="309">
        <v>2500</v>
      </c>
      <c r="R51" s="312">
        <v>2505</v>
      </c>
      <c r="S51" s="315" t="s">
        <v>2333</v>
      </c>
      <c r="T51" s="318">
        <v>770</v>
      </c>
      <c r="U51" s="321">
        <v>2490</v>
      </c>
      <c r="V51" s="321">
        <v>2535</v>
      </c>
      <c r="W51" s="321">
        <v>2545</v>
      </c>
      <c r="X51" s="321">
        <v>2460</v>
      </c>
      <c r="Y51" s="138" t="s">
        <v>1956</v>
      </c>
      <c r="AA51" s="135"/>
    </row>
    <row r="52" spans="2:27" s="3" customFormat="1" ht="57">
      <c r="B52" s="3" t="s">
        <v>67</v>
      </c>
      <c r="C52" s="14">
        <v>0</v>
      </c>
      <c r="D52" s="14">
        <v>-1</v>
      </c>
      <c r="E52" s="14">
        <v>1</v>
      </c>
      <c r="F52" s="14">
        <v>8</v>
      </c>
      <c r="G52" s="14">
        <v>-7</v>
      </c>
      <c r="H52" s="14">
        <v>31</v>
      </c>
      <c r="I52" s="14">
        <v>0</v>
      </c>
      <c r="J52" s="14">
        <v>0</v>
      </c>
      <c r="N52" s="139" t="s">
        <v>1955</v>
      </c>
      <c r="O52" s="304"/>
      <c r="P52" s="307"/>
      <c r="Q52" s="310"/>
      <c r="R52" s="313"/>
      <c r="S52" s="316"/>
      <c r="T52" s="319"/>
      <c r="U52" s="322"/>
      <c r="V52" s="322"/>
      <c r="W52" s="322"/>
      <c r="X52" s="322"/>
      <c r="Y52" s="140" t="s">
        <v>1957</v>
      </c>
      <c r="AA52" s="135"/>
    </row>
    <row r="53" spans="2:27" s="3" customFormat="1" ht="57">
      <c r="B53" s="3" t="s">
        <v>68</v>
      </c>
      <c r="C53" s="14">
        <v>10</v>
      </c>
      <c r="D53" s="14">
        <v>15</v>
      </c>
      <c r="E53" s="14">
        <v>7</v>
      </c>
      <c r="F53" s="14">
        <v>7</v>
      </c>
      <c r="G53" s="14">
        <v>10</v>
      </c>
      <c r="H53" s="14">
        <v>52</v>
      </c>
      <c r="I53" s="14">
        <v>7</v>
      </c>
      <c r="J53" s="14">
        <v>13</v>
      </c>
      <c r="N53" s="141"/>
      <c r="O53" s="304"/>
      <c r="P53" s="307"/>
      <c r="Q53" s="310"/>
      <c r="R53" s="313"/>
      <c r="S53" s="316"/>
      <c r="T53" s="319"/>
      <c r="U53" s="322"/>
      <c r="V53" s="322"/>
      <c r="W53" s="322"/>
      <c r="X53" s="322"/>
      <c r="Y53" s="140" t="s">
        <v>1958</v>
      </c>
      <c r="AA53" s="135"/>
    </row>
    <row r="54" spans="2:27" s="3" customFormat="1" ht="57.75" thickBot="1">
      <c r="B54" s="3" t="s">
        <v>69</v>
      </c>
      <c r="C54" s="14">
        <v>-1</v>
      </c>
      <c r="D54" s="14">
        <v>0</v>
      </c>
      <c r="E54" s="14">
        <v>1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42"/>
      <c r="O54" s="305"/>
      <c r="P54" s="308"/>
      <c r="Q54" s="311"/>
      <c r="R54" s="314"/>
      <c r="S54" s="317"/>
      <c r="T54" s="320"/>
      <c r="U54" s="323"/>
      <c r="V54" s="323"/>
      <c r="W54" s="323"/>
      <c r="X54" s="323"/>
      <c r="Y54" s="143" t="s">
        <v>1959</v>
      </c>
      <c r="AA54" s="135"/>
    </row>
    <row r="55" spans="2:27" s="3" customFormat="1" ht="17.25" customHeight="1" thickBot="1">
      <c r="B55" s="3" t="s">
        <v>70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1</v>
      </c>
      <c r="I55" s="14">
        <v>0</v>
      </c>
      <c r="J55" s="14">
        <v>-1</v>
      </c>
      <c r="N55" s="122" t="s">
        <v>1964</v>
      </c>
      <c r="O55" s="331" t="s">
        <v>1965</v>
      </c>
      <c r="P55" s="332"/>
      <c r="Q55" s="332"/>
      <c r="R55" s="332"/>
      <c r="S55" s="332"/>
      <c r="T55" s="332"/>
      <c r="U55" s="332"/>
      <c r="V55" s="332"/>
      <c r="W55" s="332"/>
      <c r="X55" s="332"/>
      <c r="Y55" s="333"/>
      <c r="AA55" s="135"/>
    </row>
    <row r="56" spans="2:27" s="3" customFormat="1">
      <c r="B56" s="3" t="s">
        <v>71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35"/>
    </row>
    <row r="57" spans="2:27" s="3" customFormat="1">
      <c r="B57" s="3" t="s">
        <v>72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35"/>
    </row>
    <row r="58" spans="2:27" s="3" customFormat="1">
      <c r="B58" s="3" t="s">
        <v>73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35"/>
    </row>
    <row r="59" spans="2:27" s="3" customFormat="1">
      <c r="B59" s="3" t="s">
        <v>74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35"/>
    </row>
    <row r="60" spans="2:27" s="3" customFormat="1">
      <c r="B60" s="3" t="s">
        <v>75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35"/>
    </row>
    <row r="61" spans="2:27" s="3" customFormat="1">
      <c r="B61" s="3" t="s">
        <v>76</v>
      </c>
      <c r="C61" s="14">
        <v>1171</v>
      </c>
      <c r="D61" s="14">
        <v>0</v>
      </c>
      <c r="E61" s="14">
        <v>0</v>
      </c>
      <c r="F61" s="14">
        <v>966</v>
      </c>
      <c r="G61" s="14">
        <v>509</v>
      </c>
      <c r="H61" s="14">
        <v>-256</v>
      </c>
      <c r="I61" s="14">
        <v>256</v>
      </c>
      <c r="J61" s="14">
        <v>234</v>
      </c>
      <c r="AA61" s="135"/>
    </row>
    <row r="62" spans="2:27" s="3" customFormat="1">
      <c r="B62" s="3" t="s">
        <v>77</v>
      </c>
      <c r="C62" s="14">
        <v>21</v>
      </c>
      <c r="D62" s="14">
        <v>61</v>
      </c>
      <c r="E62" s="14">
        <v>35</v>
      </c>
      <c r="F62" s="14">
        <v>20</v>
      </c>
      <c r="G62" s="14">
        <v>8</v>
      </c>
      <c r="H62" s="14">
        <v>21</v>
      </c>
      <c r="I62" s="14">
        <v>13</v>
      </c>
      <c r="J62" s="14">
        <v>25</v>
      </c>
      <c r="Q62" s="14"/>
      <c r="R62" s="14"/>
      <c r="T62" s="14"/>
      <c r="AA62" s="135"/>
    </row>
    <row r="63" spans="2:27" s="3" customFormat="1">
      <c r="B63" s="3" t="s">
        <v>78</v>
      </c>
      <c r="C63" s="14">
        <v>1281</v>
      </c>
      <c r="D63" s="14">
        <v>173</v>
      </c>
      <c r="E63" s="14">
        <v>129</v>
      </c>
      <c r="F63" s="14">
        <v>1065</v>
      </c>
      <c r="G63" s="14">
        <v>582</v>
      </c>
      <c r="H63" s="14">
        <v>-79</v>
      </c>
      <c r="I63" s="14">
        <v>333</v>
      </c>
      <c r="J63" s="14">
        <v>308</v>
      </c>
      <c r="P63" s="14"/>
      <c r="Q63" s="144"/>
      <c r="R63" s="14"/>
      <c r="S63" s="144"/>
      <c r="T63" s="14"/>
      <c r="U63" s="144"/>
      <c r="AA63" s="135"/>
    </row>
    <row r="64" spans="2:27" s="3" customFormat="1">
      <c r="B64" s="3" t="s">
        <v>79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5</v>
      </c>
      <c r="J64" s="14">
        <v>0</v>
      </c>
      <c r="P64" s="14"/>
      <c r="Q64" s="14"/>
      <c r="R64" s="14"/>
      <c r="S64" s="144"/>
      <c r="T64" s="14"/>
      <c r="U64" s="144"/>
      <c r="AA64" s="135"/>
    </row>
    <row r="65" spans="2:27" s="3" customFormat="1">
      <c r="B65" s="3" t="s">
        <v>80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44"/>
      <c r="R65" s="14"/>
      <c r="S65" s="144"/>
      <c r="T65" s="14"/>
      <c r="U65" s="144"/>
      <c r="AA65" s="135"/>
    </row>
    <row r="66" spans="2:27" s="3" customFormat="1">
      <c r="B66" s="3" t="s">
        <v>81</v>
      </c>
      <c r="C66" s="14">
        <v>-1</v>
      </c>
      <c r="D66" s="14">
        <v>2</v>
      </c>
      <c r="E66" s="3">
        <v>0</v>
      </c>
      <c r="F66" s="14">
        <v>0</v>
      </c>
      <c r="G66" s="14">
        <v>0</v>
      </c>
      <c r="H66" s="14">
        <v>-12</v>
      </c>
      <c r="I66" s="14">
        <v>12</v>
      </c>
      <c r="J66" s="14">
        <v>18</v>
      </c>
      <c r="P66" s="14"/>
      <c r="Q66" s="14"/>
      <c r="R66" s="14"/>
      <c r="S66" s="144"/>
      <c r="T66" s="14"/>
      <c r="U66" s="144"/>
      <c r="AA66" s="135"/>
    </row>
    <row r="67" spans="2:27" s="3" customFormat="1">
      <c r="B67" s="3" t="s">
        <v>82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-2</v>
      </c>
      <c r="P67" s="14"/>
      <c r="Q67" s="144"/>
      <c r="R67" s="14"/>
      <c r="S67" s="144"/>
      <c r="T67" s="14"/>
      <c r="U67" s="144"/>
      <c r="AA67" s="135"/>
    </row>
    <row r="68" spans="2:27" s="3" customFormat="1">
      <c r="B68" s="3" t="s">
        <v>83</v>
      </c>
      <c r="C68" s="14">
        <v>14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1</v>
      </c>
      <c r="P68" s="14"/>
      <c r="Q68" s="14"/>
      <c r="R68" s="14"/>
      <c r="S68" s="144"/>
      <c r="T68" s="14"/>
      <c r="U68" s="144"/>
      <c r="AA68" s="135"/>
    </row>
    <row r="69" spans="2:27" s="3" customFormat="1">
      <c r="B69" s="3" t="s">
        <v>84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-1</v>
      </c>
      <c r="I69" s="14">
        <v>1</v>
      </c>
      <c r="J69" s="14">
        <v>0</v>
      </c>
      <c r="P69" s="14"/>
      <c r="Q69" s="144"/>
      <c r="R69" s="14"/>
      <c r="S69" s="144"/>
      <c r="T69" s="14"/>
      <c r="U69" s="144"/>
      <c r="AA69" s="135"/>
    </row>
    <row r="70" spans="2:27" s="3" customFormat="1">
      <c r="B70" s="3" t="s">
        <v>85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44"/>
      <c r="T70" s="14"/>
      <c r="U70" s="144"/>
      <c r="AA70" s="135"/>
    </row>
    <row r="71" spans="2:27" s="3" customFormat="1">
      <c r="B71" s="3" t="s">
        <v>86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44"/>
      <c r="R71" s="14"/>
      <c r="S71" s="144"/>
      <c r="T71" s="14"/>
      <c r="U71" s="144"/>
      <c r="AA71" s="135"/>
    </row>
    <row r="72" spans="2:27" s="3" customFormat="1">
      <c r="B72" s="3" t="s">
        <v>87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44"/>
      <c r="T72" s="14"/>
      <c r="U72" s="144"/>
      <c r="AA72" s="135"/>
    </row>
    <row r="73" spans="2:27" s="3" customFormat="1">
      <c r="B73" s="3" t="s">
        <v>88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P73" s="14"/>
      <c r="Q73" s="144"/>
      <c r="R73" s="14"/>
      <c r="S73" s="144"/>
      <c r="T73" s="14"/>
      <c r="U73" s="144"/>
      <c r="AA73" s="135"/>
    </row>
    <row r="74" spans="2:27" s="3" customFormat="1">
      <c r="B74" s="3" t="s">
        <v>89</v>
      </c>
      <c r="C74" s="14">
        <v>-533</v>
      </c>
      <c r="D74" s="14">
        <v>306</v>
      </c>
      <c r="E74" s="14">
        <v>228</v>
      </c>
      <c r="F74" s="14">
        <v>0</v>
      </c>
      <c r="G74" s="14">
        <v>-46</v>
      </c>
      <c r="H74" s="14">
        <v>46</v>
      </c>
      <c r="I74" s="3">
        <v>0</v>
      </c>
      <c r="J74" s="14">
        <v>0</v>
      </c>
      <c r="P74" s="14"/>
      <c r="Q74" s="14"/>
      <c r="R74" s="14"/>
      <c r="S74" s="144"/>
      <c r="T74" s="14"/>
      <c r="U74" s="144"/>
      <c r="AA74" s="135"/>
    </row>
    <row r="75" spans="2:27" s="3" customFormat="1">
      <c r="B75" s="3" t="s">
        <v>90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44"/>
      <c r="R75" s="14"/>
      <c r="S75" s="144"/>
      <c r="T75" s="14"/>
      <c r="U75" s="144"/>
      <c r="AA75" s="135"/>
    </row>
    <row r="76" spans="2:27" s="3" customFormat="1">
      <c r="B76" s="3" t="s">
        <v>91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P76" s="14"/>
      <c r="Q76" s="14"/>
      <c r="R76" s="14"/>
      <c r="S76" s="144"/>
      <c r="T76" s="14"/>
      <c r="U76" s="144"/>
      <c r="AA76" s="135"/>
    </row>
    <row r="77" spans="2:27" s="3" customFormat="1">
      <c r="B77" s="3" t="s">
        <v>92</v>
      </c>
      <c r="C77" s="14">
        <v>-521</v>
      </c>
      <c r="D77" s="14">
        <v>307</v>
      </c>
      <c r="E77" s="14">
        <v>228</v>
      </c>
      <c r="F77" s="14">
        <v>0</v>
      </c>
      <c r="G77" s="14">
        <v>-46</v>
      </c>
      <c r="H77" s="14">
        <v>33</v>
      </c>
      <c r="I77" s="14">
        <v>19</v>
      </c>
      <c r="J77" s="14">
        <v>17</v>
      </c>
      <c r="P77" s="14"/>
      <c r="Q77" s="144"/>
      <c r="R77" s="14"/>
      <c r="S77" s="144"/>
      <c r="T77" s="14"/>
      <c r="U77" s="144"/>
      <c r="AA77" s="135"/>
    </row>
    <row r="78" spans="2:27" s="3" customFormat="1">
      <c r="B78" s="3" t="s">
        <v>93</v>
      </c>
      <c r="C78" s="14">
        <v>9219</v>
      </c>
      <c r="D78" s="14">
        <v>6972</v>
      </c>
      <c r="E78" s="14">
        <v>5082</v>
      </c>
      <c r="F78" s="14">
        <v>8387</v>
      </c>
      <c r="G78" s="14">
        <v>6036</v>
      </c>
      <c r="H78" s="14">
        <v>5013</v>
      </c>
      <c r="I78" s="14">
        <v>3527</v>
      </c>
      <c r="J78" s="14">
        <v>4104</v>
      </c>
      <c r="P78" s="14"/>
      <c r="Q78" s="14"/>
      <c r="R78" s="14"/>
      <c r="S78" s="144"/>
      <c r="T78" s="14"/>
      <c r="U78" s="144"/>
      <c r="AA78" s="135"/>
    </row>
    <row r="79" spans="2:27" s="3" customFormat="1">
      <c r="B79" s="3" t="s">
        <v>94</v>
      </c>
      <c r="C79" s="14">
        <v>1013</v>
      </c>
      <c r="D79" s="14">
        <v>2148</v>
      </c>
      <c r="E79" s="14">
        <v>675</v>
      </c>
      <c r="F79" s="14">
        <v>956</v>
      </c>
      <c r="G79" s="14">
        <v>750</v>
      </c>
      <c r="H79" s="14">
        <v>1291</v>
      </c>
      <c r="I79" s="14">
        <v>528</v>
      </c>
      <c r="J79" s="14">
        <v>699</v>
      </c>
      <c r="P79" s="14"/>
      <c r="Q79" s="144"/>
      <c r="R79" s="14"/>
      <c r="S79" s="144"/>
      <c r="T79" s="14"/>
      <c r="U79" s="144"/>
      <c r="AA79" s="135"/>
    </row>
    <row r="80" spans="2:27" s="3" customFormat="1">
      <c r="B80" s="3" t="s">
        <v>95</v>
      </c>
      <c r="C80" s="14">
        <v>8206</v>
      </c>
      <c r="D80" s="14">
        <v>4824</v>
      </c>
      <c r="E80" s="14">
        <v>4407</v>
      </c>
      <c r="F80" s="14">
        <v>7431</v>
      </c>
      <c r="G80" s="14">
        <v>5286</v>
      </c>
      <c r="H80" s="14">
        <v>3722</v>
      </c>
      <c r="I80" s="14">
        <v>3000</v>
      </c>
      <c r="J80" s="14">
        <v>3405</v>
      </c>
      <c r="P80" s="14"/>
      <c r="Q80" s="14"/>
      <c r="R80" s="14"/>
      <c r="S80" s="144"/>
      <c r="T80" s="14"/>
      <c r="U80" s="144"/>
      <c r="AA80" s="135"/>
    </row>
    <row r="81" spans="2:27" s="3" customFormat="1">
      <c r="B81" s="3" t="s">
        <v>96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44"/>
      <c r="R81" s="14"/>
      <c r="S81" s="144"/>
      <c r="T81" s="14"/>
      <c r="U81" s="144"/>
      <c r="AA81" s="135"/>
    </row>
    <row r="82" spans="2:27" s="3" customFormat="1">
      <c r="B82" s="3" t="s">
        <v>97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44"/>
      <c r="T82" s="14"/>
      <c r="U82" s="144"/>
      <c r="AA82" s="135"/>
    </row>
    <row r="83" spans="2:27" s="3" customFormat="1">
      <c r="B83" s="3" t="s">
        <v>98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44"/>
      <c r="R83" s="14"/>
      <c r="S83" s="144"/>
      <c r="T83" s="14"/>
      <c r="U83" s="144"/>
      <c r="AA83" s="135"/>
    </row>
    <row r="84" spans="2:27" s="3" customFormat="1">
      <c r="B84" s="3" t="s">
        <v>99</v>
      </c>
      <c r="C84" s="14">
        <v>8206</v>
      </c>
      <c r="D84" s="14">
        <v>4824</v>
      </c>
      <c r="E84" s="14">
        <v>4407</v>
      </c>
      <c r="F84" s="14">
        <v>7431</v>
      </c>
      <c r="G84" s="14">
        <v>5286</v>
      </c>
      <c r="H84" s="14">
        <v>3722</v>
      </c>
      <c r="I84" s="14">
        <v>3000</v>
      </c>
      <c r="J84" s="14">
        <v>3405</v>
      </c>
      <c r="P84" s="14"/>
      <c r="Q84" s="14"/>
      <c r="R84" s="14"/>
      <c r="S84" s="144"/>
      <c r="T84" s="14"/>
      <c r="U84" s="144"/>
      <c r="AA84" s="135"/>
    </row>
    <row r="85" spans="2:27" s="3" customFormat="1">
      <c r="B85" s="3" t="s">
        <v>100</v>
      </c>
      <c r="C85" s="14" t="s">
        <v>101</v>
      </c>
      <c r="D85" s="14" t="s">
        <v>101</v>
      </c>
      <c r="E85" s="14" t="s">
        <v>101</v>
      </c>
      <c r="F85" s="14" t="s">
        <v>101</v>
      </c>
      <c r="G85" s="14" t="s">
        <v>101</v>
      </c>
      <c r="H85" s="14" t="s">
        <v>101</v>
      </c>
      <c r="I85" s="14" t="s">
        <v>101</v>
      </c>
      <c r="J85" s="14" t="s">
        <v>101</v>
      </c>
      <c r="P85" s="14"/>
      <c r="Q85" s="144"/>
      <c r="R85" s="14"/>
      <c r="S85" s="144"/>
      <c r="T85" s="14"/>
      <c r="U85" s="144"/>
      <c r="AA85" s="135"/>
    </row>
    <row r="86" spans="2:27" s="3" customFormat="1">
      <c r="B86" s="3" t="s">
        <v>102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44"/>
      <c r="T86" s="14"/>
      <c r="U86" s="144"/>
      <c r="AA86" s="135"/>
    </row>
    <row r="87" spans="2:27" s="3" customFormat="1">
      <c r="B87" s="3" t="s">
        <v>103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44"/>
      <c r="R87" s="14"/>
      <c r="S87" s="144"/>
      <c r="T87" s="14"/>
      <c r="U87" s="144"/>
      <c r="AA87" s="135"/>
    </row>
    <row r="88" spans="2:27" s="3" customFormat="1">
      <c r="B88" s="3" t="s">
        <v>13</v>
      </c>
      <c r="C88" s="14">
        <v>8206</v>
      </c>
      <c r="D88" s="14">
        <v>4824</v>
      </c>
      <c r="E88" s="14">
        <v>4407</v>
      </c>
      <c r="F88" s="14">
        <v>7431</v>
      </c>
      <c r="G88" s="14">
        <v>5286</v>
      </c>
      <c r="H88" s="14">
        <v>3722</v>
      </c>
      <c r="I88" s="14">
        <v>3000</v>
      </c>
      <c r="J88" s="14">
        <v>3405</v>
      </c>
      <c r="P88" s="14"/>
      <c r="Q88" s="14"/>
      <c r="R88" s="14"/>
      <c r="S88" s="144"/>
      <c r="T88" s="14"/>
      <c r="U88" s="144"/>
      <c r="AA88" s="135"/>
    </row>
    <row r="89" spans="2:27" s="3" customFormat="1">
      <c r="B89" s="3" t="s">
        <v>14</v>
      </c>
      <c r="C89" s="14">
        <v>61.17</v>
      </c>
      <c r="D89" s="14">
        <v>35.96</v>
      </c>
      <c r="E89" s="14">
        <v>32.86</v>
      </c>
      <c r="F89" s="14">
        <v>55.4</v>
      </c>
      <c r="G89" s="14">
        <v>39.4</v>
      </c>
      <c r="H89" s="14">
        <v>27.75</v>
      </c>
      <c r="I89" s="14">
        <v>22.36</v>
      </c>
      <c r="J89" s="14">
        <v>25.38</v>
      </c>
      <c r="P89" s="14"/>
      <c r="Q89" s="144"/>
      <c r="R89" s="14"/>
      <c r="S89" s="144"/>
      <c r="T89" s="14"/>
      <c r="U89" s="144"/>
      <c r="AA89" s="135"/>
    </row>
    <row r="90" spans="2:27" s="3" customFormat="1">
      <c r="B90" s="3" t="s">
        <v>104</v>
      </c>
      <c r="C90" s="14">
        <v>60.62</v>
      </c>
      <c r="D90" s="14">
        <v>35.619999999999997</v>
      </c>
      <c r="E90" s="14">
        <v>32.47</v>
      </c>
      <c r="F90" s="14" t="s">
        <v>101</v>
      </c>
      <c r="G90" s="14">
        <v>39.11</v>
      </c>
      <c r="H90" s="14">
        <v>27.5</v>
      </c>
      <c r="I90" s="14">
        <v>22.1</v>
      </c>
      <c r="J90" s="14" t="s">
        <v>101</v>
      </c>
      <c r="P90" s="14"/>
      <c r="Q90" s="14"/>
      <c r="R90" s="14"/>
      <c r="S90" s="144"/>
      <c r="T90" s="14"/>
      <c r="U90" s="144"/>
      <c r="AA90" s="135"/>
    </row>
    <row r="91" spans="2:27" s="3" customFormat="1">
      <c r="B91" s="3" t="s">
        <v>105</v>
      </c>
      <c r="C91" s="14">
        <v>1341</v>
      </c>
      <c r="D91" s="14">
        <v>1341</v>
      </c>
      <c r="E91" s="14">
        <v>1341</v>
      </c>
      <c r="F91" s="14">
        <v>1341</v>
      </c>
      <c r="G91" s="14">
        <v>1341</v>
      </c>
      <c r="H91" s="14">
        <v>1341</v>
      </c>
      <c r="I91" s="14">
        <v>1341</v>
      </c>
      <c r="J91" s="14">
        <v>1341</v>
      </c>
      <c r="P91" s="14"/>
      <c r="Q91" s="144"/>
      <c r="R91" s="14"/>
      <c r="S91" s="144"/>
      <c r="T91" s="14"/>
      <c r="U91" s="144"/>
      <c r="AA91" s="135"/>
    </row>
    <row r="92" spans="2:27" s="3" customFormat="1">
      <c r="B92" s="3" t="s">
        <v>106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44"/>
      <c r="T92" s="14"/>
      <c r="U92" s="144"/>
      <c r="AA92" s="135"/>
    </row>
    <row r="93" spans="2:27" s="3" customFormat="1">
      <c r="B93" s="3" t="s">
        <v>107</v>
      </c>
      <c r="C93" s="14" t="s">
        <v>101</v>
      </c>
      <c r="D93" s="14" t="s">
        <v>101</v>
      </c>
      <c r="E93" s="14" t="s">
        <v>101</v>
      </c>
      <c r="F93" s="14">
        <v>0</v>
      </c>
      <c r="G93" s="14" t="s">
        <v>101</v>
      </c>
      <c r="H93" s="14" t="s">
        <v>101</v>
      </c>
      <c r="I93" s="14" t="s">
        <v>101</v>
      </c>
      <c r="J93" s="14">
        <v>0</v>
      </c>
      <c r="P93" s="14"/>
      <c r="Q93" s="144"/>
      <c r="R93" s="14"/>
      <c r="S93" s="144"/>
      <c r="T93" s="14"/>
      <c r="U93" s="144"/>
      <c r="AA93" s="135"/>
    </row>
    <row r="94" spans="2:27" s="3" customFormat="1">
      <c r="B94" s="3" t="s">
        <v>108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45"/>
      <c r="Q94" s="14"/>
      <c r="R94" s="14"/>
      <c r="S94" s="144"/>
      <c r="T94" s="14"/>
      <c r="U94" s="144"/>
      <c r="AA94" s="135"/>
    </row>
    <row r="95" spans="2:27" s="3" customFormat="1">
      <c r="B95" s="3" t="s">
        <v>109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44"/>
      <c r="R95" s="14"/>
      <c r="S95" s="144"/>
      <c r="T95" s="14"/>
      <c r="U95" s="144"/>
      <c r="AA95" s="135"/>
    </row>
    <row r="96" spans="2:27" s="3" customFormat="1">
      <c r="B96" s="3" t="s">
        <v>110</v>
      </c>
      <c r="C96" s="14">
        <v>9219</v>
      </c>
      <c r="D96" s="14">
        <v>6972</v>
      </c>
      <c r="E96" s="14">
        <v>5082</v>
      </c>
      <c r="F96" s="14">
        <v>8387</v>
      </c>
      <c r="G96" s="14">
        <v>6036</v>
      </c>
      <c r="H96" s="14">
        <v>5013</v>
      </c>
      <c r="I96" s="14">
        <v>3532</v>
      </c>
      <c r="J96" s="14">
        <v>4104</v>
      </c>
      <c r="P96" s="145"/>
      <c r="Q96" s="14"/>
      <c r="R96" s="14"/>
      <c r="S96" s="144"/>
      <c r="T96" s="14"/>
      <c r="U96" s="144"/>
      <c r="AA96" s="135"/>
    </row>
    <row r="97" spans="2:27" s="3" customFormat="1">
      <c r="B97" s="3" t="s">
        <v>111</v>
      </c>
      <c r="C97" s="14">
        <v>9683</v>
      </c>
      <c r="D97" s="14">
        <v>7429</v>
      </c>
      <c r="E97" s="14">
        <v>5528</v>
      </c>
      <c r="F97" s="14">
        <v>8843</v>
      </c>
      <c r="G97" s="14">
        <v>6450</v>
      </c>
      <c r="H97" s="14">
        <v>5409</v>
      </c>
      <c r="I97" s="14">
        <v>3927</v>
      </c>
      <c r="J97" s="14">
        <v>4485</v>
      </c>
      <c r="P97" s="14"/>
      <c r="Q97" s="144"/>
      <c r="R97" s="14"/>
      <c r="S97" s="144"/>
      <c r="T97" s="14"/>
      <c r="U97" s="144"/>
      <c r="AA97" s="135"/>
    </row>
    <row r="98" spans="2:27" s="3" customFormat="1">
      <c r="B98" s="3" t="s">
        <v>112</v>
      </c>
      <c r="C98" s="14">
        <v>8210</v>
      </c>
      <c r="D98" s="14">
        <v>4810</v>
      </c>
      <c r="E98" s="14">
        <v>4400</v>
      </c>
      <c r="F98" s="14">
        <v>7424</v>
      </c>
      <c r="G98" s="14">
        <v>5276</v>
      </c>
      <c r="H98" s="14">
        <v>3668</v>
      </c>
      <c r="I98" s="14">
        <v>2994</v>
      </c>
      <c r="J98" s="14">
        <v>3392</v>
      </c>
      <c r="P98" s="145"/>
      <c r="Q98" s="14"/>
      <c r="R98" s="14"/>
      <c r="S98" s="144"/>
      <c r="T98" s="14"/>
      <c r="U98" s="144"/>
      <c r="AA98" s="135"/>
    </row>
    <row r="99" spans="2:27" s="3" customFormat="1">
      <c r="B99" s="3" t="s">
        <v>113</v>
      </c>
      <c r="C99" s="14"/>
      <c r="D99" s="14"/>
      <c r="E99" s="14"/>
      <c r="F99" s="14"/>
      <c r="G99" s="14"/>
      <c r="H99" s="14"/>
      <c r="I99" s="14"/>
      <c r="J99" s="14"/>
      <c r="P99" s="14"/>
      <c r="Q99" s="144"/>
      <c r="R99" s="14"/>
      <c r="S99" s="144"/>
      <c r="T99" s="14"/>
      <c r="U99" s="144"/>
      <c r="AA99" s="135"/>
    </row>
    <row r="100" spans="2:27" s="3" customFormat="1">
      <c r="B100" s="3" t="s">
        <v>114</v>
      </c>
      <c r="C100" s="14"/>
      <c r="D100" s="14"/>
      <c r="E100" s="14"/>
      <c r="F100" s="14"/>
      <c r="G100" s="14"/>
      <c r="H100" s="14"/>
      <c r="I100" s="14"/>
      <c r="J100" s="14"/>
      <c r="P100" s="145"/>
      <c r="Q100" s="14"/>
      <c r="R100" s="14"/>
      <c r="T100" s="14"/>
      <c r="AA100" s="135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44"/>
      <c r="T101" s="14"/>
      <c r="AA101" s="135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45"/>
      <c r="Q102" s="14"/>
      <c r="R102" s="14"/>
      <c r="T102" s="14"/>
      <c r="AA102" s="135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44"/>
      <c r="T103" s="14"/>
      <c r="AA103" s="135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45"/>
      <c r="Q104" s="14"/>
      <c r="R104" s="14"/>
      <c r="T104" s="14"/>
      <c r="AA104" s="135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44"/>
      <c r="T105" s="14"/>
      <c r="AA105" s="135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45"/>
      <c r="Q106" s="14"/>
      <c r="R106" s="14"/>
      <c r="T106" s="14"/>
      <c r="AA106" s="135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44"/>
      <c r="T107" s="14"/>
      <c r="AA107" s="135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45"/>
      <c r="Q108" s="14"/>
      <c r="R108" s="14"/>
      <c r="T108" s="14"/>
      <c r="AA108" s="135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44"/>
      <c r="T109" s="14"/>
      <c r="AA109" s="135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45"/>
      <c r="Q110" s="14"/>
      <c r="R110" s="14"/>
      <c r="T110" s="14"/>
      <c r="AA110" s="135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35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45"/>
      <c r="Q112" s="14"/>
      <c r="R112" s="14"/>
      <c r="T112" s="14"/>
      <c r="AA112" s="135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35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45"/>
      <c r="Q114" s="14"/>
      <c r="R114" s="14"/>
      <c r="T114" s="14"/>
      <c r="AA114" s="135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35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45"/>
      <c r="Q116" s="14"/>
      <c r="R116" s="14"/>
      <c r="T116" s="14"/>
      <c r="AA116" s="135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35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45"/>
      <c r="Q118" s="14"/>
      <c r="R118" s="14"/>
      <c r="T118" s="14"/>
      <c r="AA118" s="135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35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35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35"/>
    </row>
    <row r="122" spans="2:27" s="3" customFormat="1">
      <c r="B122" s="3" t="s">
        <v>2331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35"/>
    </row>
    <row r="123" spans="2:27" s="3" customFormat="1">
      <c r="B123" s="3" t="s">
        <v>48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35"/>
    </row>
    <row r="124" spans="2:27" s="3" customFormat="1">
      <c r="B124" s="3" t="s">
        <v>50</v>
      </c>
      <c r="C124" s="14" t="s">
        <v>2321</v>
      </c>
      <c r="D124" s="14" t="s">
        <v>229</v>
      </c>
      <c r="E124" s="14" t="s">
        <v>51</v>
      </c>
      <c r="F124" s="14" t="s">
        <v>52</v>
      </c>
      <c r="G124" s="14" t="s">
        <v>53</v>
      </c>
      <c r="H124" s="14" t="s">
        <v>54</v>
      </c>
      <c r="I124" s="14" t="s">
        <v>55</v>
      </c>
      <c r="J124" s="14" t="s">
        <v>56</v>
      </c>
      <c r="P124" s="145"/>
      <c r="Q124" s="14"/>
      <c r="R124" s="14"/>
      <c r="T124" s="14"/>
      <c r="AA124" s="135"/>
    </row>
    <row r="125" spans="2:27" s="3" customFormat="1">
      <c r="B125" s="3" t="s">
        <v>155</v>
      </c>
      <c r="C125" s="14">
        <v>33865</v>
      </c>
      <c r="D125" s="14">
        <v>32058</v>
      </c>
      <c r="E125" s="14">
        <v>32547</v>
      </c>
      <c r="F125" s="14">
        <v>24100</v>
      </c>
      <c r="G125" s="14">
        <v>19700</v>
      </c>
      <c r="H125" s="14">
        <v>19269</v>
      </c>
      <c r="I125" s="14">
        <v>17904</v>
      </c>
      <c r="J125" s="14">
        <v>13503</v>
      </c>
      <c r="AA125" s="135"/>
    </row>
    <row r="126" spans="2:27" s="3" customFormat="1">
      <c r="B126" s="3" t="s">
        <v>156</v>
      </c>
      <c r="C126" s="14">
        <v>2973</v>
      </c>
      <c r="D126" s="14">
        <v>6209</v>
      </c>
      <c r="E126" s="14">
        <v>2288</v>
      </c>
      <c r="F126" s="14">
        <v>3445</v>
      </c>
      <c r="G126" s="14">
        <v>4127</v>
      </c>
      <c r="H126" s="14">
        <v>3807</v>
      </c>
      <c r="I126" s="14">
        <v>3708</v>
      </c>
      <c r="J126" s="14">
        <v>3542</v>
      </c>
      <c r="P126" s="145"/>
      <c r="Q126" s="14"/>
      <c r="R126" s="14"/>
      <c r="T126" s="14"/>
      <c r="AA126" s="135"/>
    </row>
    <row r="127" spans="2:27" s="3" customFormat="1">
      <c r="B127" s="3" t="s">
        <v>193</v>
      </c>
      <c r="C127" s="14">
        <v>13049</v>
      </c>
      <c r="D127" s="14">
        <v>10634</v>
      </c>
      <c r="E127" s="14">
        <v>8213</v>
      </c>
      <c r="F127" s="14">
        <v>13338</v>
      </c>
      <c r="G127" s="14">
        <v>10685</v>
      </c>
      <c r="H127" s="14">
        <v>8223</v>
      </c>
      <c r="I127" s="14">
        <v>4459</v>
      </c>
      <c r="J127" s="14">
        <v>6823</v>
      </c>
      <c r="AA127" s="135"/>
    </row>
    <row r="128" spans="2:27" s="3" customFormat="1">
      <c r="B128" s="3" t="s">
        <v>157</v>
      </c>
      <c r="C128" s="14">
        <v>259</v>
      </c>
      <c r="D128" s="14">
        <v>102</v>
      </c>
      <c r="E128" s="14">
        <v>242</v>
      </c>
      <c r="F128" s="14">
        <v>287</v>
      </c>
      <c r="G128" s="14">
        <v>159</v>
      </c>
      <c r="H128" s="14">
        <v>265</v>
      </c>
      <c r="I128" s="14">
        <v>123</v>
      </c>
      <c r="J128" s="14">
        <v>133</v>
      </c>
      <c r="P128" s="145"/>
      <c r="Q128" s="14"/>
      <c r="R128" s="14"/>
      <c r="T128" s="14"/>
      <c r="AA128" s="135"/>
    </row>
    <row r="129" spans="2:27" s="3" customFormat="1">
      <c r="B129" s="3" t="s">
        <v>194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35"/>
    </row>
    <row r="130" spans="2:27" s="3" customFormat="1">
      <c r="B130" s="3" t="s">
        <v>15</v>
      </c>
      <c r="C130" s="14">
        <v>4458</v>
      </c>
      <c r="D130" s="14">
        <v>4397</v>
      </c>
      <c r="E130" s="14">
        <v>4859</v>
      </c>
      <c r="F130" s="14">
        <v>3538</v>
      </c>
      <c r="G130" s="14">
        <v>3140</v>
      </c>
      <c r="H130" s="14">
        <v>2387</v>
      </c>
      <c r="I130" s="14">
        <v>2707</v>
      </c>
      <c r="J130" s="14">
        <v>2693</v>
      </c>
      <c r="P130" s="145"/>
      <c r="Q130" s="14"/>
      <c r="R130" s="14"/>
      <c r="T130" s="14"/>
      <c r="AA130" s="135"/>
    </row>
    <row r="131" spans="2:27" s="3" customFormat="1">
      <c r="B131" s="3" t="s">
        <v>195</v>
      </c>
      <c r="C131" s="14" t="s">
        <v>101</v>
      </c>
      <c r="D131" s="14" t="s">
        <v>101</v>
      </c>
      <c r="E131" s="14" t="s">
        <v>101</v>
      </c>
      <c r="F131" s="14" t="s">
        <v>101</v>
      </c>
      <c r="G131" s="14" t="s">
        <v>101</v>
      </c>
      <c r="H131" s="14" t="s">
        <v>101</v>
      </c>
      <c r="I131" s="14" t="s">
        <v>101</v>
      </c>
      <c r="J131" s="14" t="s">
        <v>101</v>
      </c>
      <c r="AA131" s="135"/>
    </row>
    <row r="132" spans="2:27" s="3" customFormat="1">
      <c r="B132" s="3" t="s">
        <v>158</v>
      </c>
      <c r="C132" s="14">
        <v>179</v>
      </c>
      <c r="D132" s="14">
        <v>252</v>
      </c>
      <c r="E132" s="14">
        <v>167</v>
      </c>
      <c r="F132" s="14">
        <v>51</v>
      </c>
      <c r="G132" s="14">
        <v>188</v>
      </c>
      <c r="H132" s="14">
        <v>146</v>
      </c>
      <c r="I132" s="14">
        <v>111</v>
      </c>
      <c r="J132" s="14">
        <v>61</v>
      </c>
      <c r="P132" s="145"/>
      <c r="Q132" s="14"/>
      <c r="R132" s="14"/>
      <c r="T132" s="14"/>
      <c r="AA132" s="135"/>
    </row>
    <row r="133" spans="2:27" s="3" customFormat="1">
      <c r="B133" s="3" t="s">
        <v>159</v>
      </c>
      <c r="C133" s="14">
        <v>85</v>
      </c>
      <c r="D133" s="14">
        <v>40</v>
      </c>
      <c r="E133" s="14">
        <v>52</v>
      </c>
      <c r="F133" s="14">
        <v>50</v>
      </c>
      <c r="G133" s="14">
        <v>43</v>
      </c>
      <c r="H133" s="14">
        <v>32</v>
      </c>
      <c r="I133" s="14">
        <v>108</v>
      </c>
      <c r="J133" s="14">
        <v>54</v>
      </c>
      <c r="AA133" s="135"/>
    </row>
    <row r="134" spans="2:27" s="3" customFormat="1">
      <c r="B134" s="3" t="s">
        <v>160</v>
      </c>
      <c r="C134" s="14">
        <v>54867</v>
      </c>
      <c r="D134" s="14">
        <v>53692</v>
      </c>
      <c r="E134" s="14">
        <v>48368</v>
      </c>
      <c r="F134" s="14">
        <v>44809</v>
      </c>
      <c r="G134" s="14">
        <v>38042</v>
      </c>
      <c r="H134" s="14">
        <v>34129</v>
      </c>
      <c r="I134" s="14">
        <v>29121</v>
      </c>
      <c r="J134" s="14">
        <v>26809</v>
      </c>
      <c r="P134" s="145"/>
      <c r="Q134" s="14"/>
      <c r="R134" s="14"/>
      <c r="T134" s="14"/>
      <c r="AA134" s="135"/>
    </row>
    <row r="135" spans="2:27" s="3" customFormat="1">
      <c r="B135" s="3" t="s">
        <v>161</v>
      </c>
      <c r="C135" s="14">
        <v>111</v>
      </c>
      <c r="D135" s="14">
        <v>110</v>
      </c>
      <c r="E135" s="14">
        <v>112</v>
      </c>
      <c r="F135" s="14">
        <v>111</v>
      </c>
      <c r="G135" s="14">
        <v>103</v>
      </c>
      <c r="H135" s="14">
        <v>111</v>
      </c>
      <c r="I135" s="14">
        <v>209</v>
      </c>
      <c r="J135" s="14">
        <v>274</v>
      </c>
      <c r="AA135" s="135"/>
    </row>
    <row r="136" spans="2:27" s="3" customFormat="1">
      <c r="B136" s="3" t="s">
        <v>162</v>
      </c>
      <c r="C136" s="14">
        <v>3695</v>
      </c>
      <c r="D136" s="14">
        <v>3695</v>
      </c>
      <c r="E136" s="14">
        <v>3695</v>
      </c>
      <c r="F136" s="14">
        <v>3695</v>
      </c>
      <c r="G136" s="14">
        <v>560</v>
      </c>
      <c r="H136" s="14">
        <v>560</v>
      </c>
      <c r="I136" s="14">
        <v>560</v>
      </c>
      <c r="J136" s="14">
        <v>560</v>
      </c>
      <c r="P136" s="145"/>
      <c r="Q136" s="14"/>
      <c r="R136" s="14"/>
      <c r="T136" s="14"/>
      <c r="AA136" s="135"/>
    </row>
    <row r="137" spans="2:27" s="3" customFormat="1">
      <c r="B137" s="3" t="s">
        <v>163</v>
      </c>
      <c r="C137" s="14">
        <v>2247</v>
      </c>
      <c r="D137" s="14">
        <v>2163</v>
      </c>
      <c r="E137" s="14">
        <v>2168</v>
      </c>
      <c r="F137" s="14">
        <v>2172</v>
      </c>
      <c r="G137" s="14">
        <v>2157</v>
      </c>
      <c r="H137" s="14">
        <v>2147</v>
      </c>
      <c r="I137" s="14">
        <v>2141</v>
      </c>
      <c r="J137" s="14">
        <v>2141</v>
      </c>
      <c r="AA137" s="135"/>
    </row>
    <row r="138" spans="2:27" s="3" customFormat="1">
      <c r="B138" s="3" t="s">
        <v>164</v>
      </c>
      <c r="C138" s="14">
        <v>12442</v>
      </c>
      <c r="D138" s="14">
        <v>12088</v>
      </c>
      <c r="E138" s="14">
        <v>11767</v>
      </c>
      <c r="F138" s="14">
        <v>11327</v>
      </c>
      <c r="G138" s="14">
        <v>10566</v>
      </c>
      <c r="H138" s="14">
        <v>9961</v>
      </c>
      <c r="I138" s="14">
        <v>9753</v>
      </c>
      <c r="J138" s="14">
        <v>9512</v>
      </c>
      <c r="P138" s="145"/>
      <c r="Q138" s="14"/>
      <c r="R138" s="14"/>
      <c r="T138" s="14"/>
      <c r="AA138" s="135"/>
    </row>
    <row r="139" spans="2:27" s="3" customFormat="1">
      <c r="B139" s="3" t="s">
        <v>165</v>
      </c>
      <c r="C139" s="14">
        <v>4683</v>
      </c>
      <c r="D139" s="14">
        <v>4542</v>
      </c>
      <c r="E139" s="14">
        <v>4464</v>
      </c>
      <c r="F139" s="14">
        <v>4393</v>
      </c>
      <c r="G139" s="14">
        <v>4275</v>
      </c>
      <c r="H139" s="14">
        <v>4137</v>
      </c>
      <c r="I139" s="14">
        <v>4064</v>
      </c>
      <c r="J139" s="14">
        <v>3964</v>
      </c>
      <c r="AA139" s="135"/>
    </row>
    <row r="140" spans="2:27" s="3" customFormat="1">
      <c r="B140" s="3" t="s">
        <v>166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45"/>
      <c r="Q140" s="14"/>
      <c r="R140" s="14"/>
      <c r="T140" s="14"/>
      <c r="AA140" s="135"/>
    </row>
    <row r="141" spans="2:27" s="3" customFormat="1">
      <c r="B141" s="3" t="s">
        <v>167</v>
      </c>
      <c r="C141" s="14">
        <v>-9576</v>
      </c>
      <c r="D141" s="14">
        <v>-9115</v>
      </c>
      <c r="E141" s="14">
        <v>-8675</v>
      </c>
      <c r="F141" s="14">
        <v>-8244</v>
      </c>
      <c r="G141" s="14">
        <v>-7778</v>
      </c>
      <c r="H141" s="14">
        <v>-7358</v>
      </c>
      <c r="I141" s="14">
        <v>-6973</v>
      </c>
      <c r="J141" s="14">
        <v>-6588</v>
      </c>
      <c r="AA141" s="135"/>
    </row>
    <row r="142" spans="2:27" s="3" customFormat="1">
      <c r="B142" s="3" t="s">
        <v>168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45"/>
      <c r="Q142" s="14"/>
      <c r="R142" s="14"/>
      <c r="T142" s="14"/>
      <c r="AA142" s="135"/>
    </row>
    <row r="143" spans="2:27" s="3" customFormat="1">
      <c r="B143" s="3" t="s">
        <v>169</v>
      </c>
      <c r="C143" s="14">
        <v>6600</v>
      </c>
      <c r="D143" s="14">
        <v>6736</v>
      </c>
      <c r="E143" s="14">
        <v>4387</v>
      </c>
      <c r="F143" s="14">
        <v>380</v>
      </c>
      <c r="G143" s="14">
        <v>601</v>
      </c>
      <c r="H143" s="14">
        <v>450</v>
      </c>
      <c r="I143" s="14">
        <v>298</v>
      </c>
      <c r="J143" s="14">
        <v>211</v>
      </c>
      <c r="AA143" s="135"/>
    </row>
    <row r="144" spans="2:27" s="3" customFormat="1">
      <c r="B144" s="3" t="s">
        <v>170</v>
      </c>
      <c r="C144" s="14">
        <v>20091</v>
      </c>
      <c r="D144" s="14">
        <v>20109</v>
      </c>
      <c r="E144" s="14">
        <v>17806</v>
      </c>
      <c r="F144" s="14">
        <v>13722</v>
      </c>
      <c r="G144" s="14">
        <v>10381</v>
      </c>
      <c r="H144" s="14">
        <v>9897</v>
      </c>
      <c r="I144" s="14">
        <v>9844</v>
      </c>
      <c r="J144" s="14">
        <v>9800</v>
      </c>
      <c r="P144" s="145"/>
      <c r="Q144" s="14"/>
      <c r="R144" s="14"/>
      <c r="T144" s="14"/>
      <c r="AA144" s="135"/>
    </row>
    <row r="145" spans="2:27" s="3" customFormat="1">
      <c r="B145" s="3" t="s">
        <v>171</v>
      </c>
      <c r="C145" s="14">
        <v>525</v>
      </c>
      <c r="D145" s="14">
        <v>445</v>
      </c>
      <c r="E145" s="14">
        <v>475</v>
      </c>
      <c r="F145" s="14">
        <v>285</v>
      </c>
      <c r="G145" s="14">
        <v>276</v>
      </c>
      <c r="H145" s="14">
        <v>233</v>
      </c>
      <c r="I145" s="14">
        <v>284</v>
      </c>
      <c r="J145" s="14">
        <v>278</v>
      </c>
      <c r="AA145" s="135"/>
    </row>
    <row r="146" spans="2:27" s="3" customFormat="1">
      <c r="B146" s="3" t="s">
        <v>172</v>
      </c>
      <c r="C146" s="14">
        <v>31</v>
      </c>
      <c r="D146" s="14">
        <v>31</v>
      </c>
      <c r="E146" s="14">
        <v>33</v>
      </c>
      <c r="F146" s="14">
        <v>33</v>
      </c>
      <c r="G146" s="14">
        <v>27</v>
      </c>
      <c r="H146" s="14">
        <v>29</v>
      </c>
      <c r="I146" s="14">
        <v>24</v>
      </c>
      <c r="J146" s="14">
        <v>26</v>
      </c>
      <c r="P146" s="145"/>
      <c r="Q146" s="14"/>
      <c r="R146" s="14"/>
      <c r="T146" s="14"/>
      <c r="AA146" s="135"/>
    </row>
    <row r="147" spans="2:27" s="3" customFormat="1">
      <c r="B147" s="3" t="s">
        <v>173</v>
      </c>
      <c r="C147" s="14">
        <v>1805</v>
      </c>
      <c r="D147" s="14">
        <v>1759</v>
      </c>
      <c r="E147" s="14">
        <v>1878</v>
      </c>
      <c r="F147" s="14">
        <v>2093</v>
      </c>
      <c r="G147" s="14">
        <v>1785</v>
      </c>
      <c r="H147" s="14">
        <v>1555</v>
      </c>
      <c r="I147" s="14">
        <v>1320</v>
      </c>
      <c r="J147" s="14">
        <v>1427</v>
      </c>
      <c r="AA147" s="135"/>
    </row>
    <row r="148" spans="2:27" s="3" customFormat="1">
      <c r="B148" s="3" t="s">
        <v>174</v>
      </c>
      <c r="C148" s="14">
        <v>2361</v>
      </c>
      <c r="D148" s="14">
        <v>2235</v>
      </c>
      <c r="E148" s="14">
        <v>2386</v>
      </c>
      <c r="F148" s="14">
        <v>2411</v>
      </c>
      <c r="G148" s="14">
        <v>2088</v>
      </c>
      <c r="H148" s="14">
        <v>1816</v>
      </c>
      <c r="I148" s="14">
        <v>1629</v>
      </c>
      <c r="J148" s="14">
        <v>1730</v>
      </c>
      <c r="P148" s="145"/>
      <c r="Q148" s="14"/>
      <c r="R148" s="14"/>
      <c r="T148" s="14"/>
      <c r="AA148" s="135"/>
    </row>
    <row r="149" spans="2:27" s="3" customFormat="1">
      <c r="B149" s="3" t="s">
        <v>18</v>
      </c>
      <c r="C149" s="14">
        <v>77431</v>
      </c>
      <c r="D149" s="14">
        <v>76145</v>
      </c>
      <c r="E149" s="14">
        <v>68672</v>
      </c>
      <c r="F149" s="14">
        <v>61054</v>
      </c>
      <c r="G149" s="14">
        <v>50614</v>
      </c>
      <c r="H149" s="14">
        <v>45952</v>
      </c>
      <c r="I149" s="14">
        <v>40801</v>
      </c>
      <c r="J149" s="14">
        <v>38614</v>
      </c>
      <c r="AA149" s="135"/>
    </row>
    <row r="150" spans="2:27" s="3" customFormat="1">
      <c r="B150" s="3" t="s">
        <v>196</v>
      </c>
      <c r="C150" s="14">
        <v>164</v>
      </c>
      <c r="D150" s="14">
        <v>269</v>
      </c>
      <c r="E150" s="14">
        <v>179</v>
      </c>
      <c r="F150" s="14">
        <v>190</v>
      </c>
      <c r="G150" s="14">
        <v>211</v>
      </c>
      <c r="H150" s="14">
        <v>14</v>
      </c>
      <c r="I150" s="14">
        <v>12</v>
      </c>
      <c r="J150" s="14">
        <v>83</v>
      </c>
      <c r="P150" s="145"/>
      <c r="Q150" s="14"/>
      <c r="R150" s="14"/>
      <c r="T150" s="14"/>
      <c r="AA150" s="135"/>
    </row>
    <row r="151" spans="2:27" s="3" customFormat="1">
      <c r="B151" s="3" t="s">
        <v>197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35"/>
    </row>
    <row r="152" spans="2:27" s="3" customFormat="1">
      <c r="B152" s="3" t="s">
        <v>16</v>
      </c>
      <c r="C152" s="14">
        <v>3964</v>
      </c>
      <c r="D152" s="14">
        <v>3548</v>
      </c>
      <c r="E152" s="14">
        <v>3310</v>
      </c>
      <c r="F152" s="14">
        <v>4999</v>
      </c>
      <c r="G152" s="14">
        <v>4079</v>
      </c>
      <c r="H152" s="14">
        <v>1625</v>
      </c>
      <c r="I152" s="14">
        <v>1112</v>
      </c>
      <c r="J152" s="14">
        <v>2507</v>
      </c>
      <c r="P152" s="145"/>
      <c r="Q152" s="14"/>
      <c r="R152" s="14"/>
      <c r="T152" s="14"/>
      <c r="AA152" s="135"/>
    </row>
    <row r="153" spans="2:27" s="3" customFormat="1">
      <c r="B153" s="3" t="s">
        <v>175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  <c r="AA153" s="135"/>
    </row>
    <row r="154" spans="2:27" s="3" customFormat="1">
      <c r="B154" s="3" t="s">
        <v>176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45"/>
      <c r="Q154" s="14"/>
      <c r="R154" s="14"/>
      <c r="T154" s="14"/>
      <c r="AA154" s="135"/>
    </row>
    <row r="155" spans="2:27" s="3" customFormat="1">
      <c r="B155" s="3" t="s">
        <v>177</v>
      </c>
      <c r="C155" s="14">
        <v>12204</v>
      </c>
      <c r="D155" s="14">
        <v>20860</v>
      </c>
      <c r="E155" s="14">
        <v>11282</v>
      </c>
      <c r="F155" s="14">
        <v>7094</v>
      </c>
      <c r="G155" s="14">
        <v>5917</v>
      </c>
      <c r="H155" s="14">
        <v>9232</v>
      </c>
      <c r="I155" s="14">
        <v>4310</v>
      </c>
      <c r="J155" s="14">
        <v>3925</v>
      </c>
      <c r="AA155" s="135"/>
    </row>
    <row r="156" spans="2:27" s="3" customFormat="1">
      <c r="B156" s="3" t="s">
        <v>178</v>
      </c>
      <c r="C156" s="14">
        <v>2453</v>
      </c>
      <c r="D156" s="14">
        <v>2907</v>
      </c>
      <c r="E156" s="14">
        <v>3221</v>
      </c>
      <c r="F156" s="14">
        <v>2474</v>
      </c>
      <c r="G156" s="14">
        <v>1576</v>
      </c>
      <c r="H156" s="14">
        <v>1680</v>
      </c>
      <c r="I156" s="14">
        <v>1818</v>
      </c>
      <c r="J156" s="14">
        <v>1551</v>
      </c>
      <c r="P156" s="145"/>
      <c r="Q156" s="14"/>
      <c r="R156" s="14"/>
      <c r="T156" s="14"/>
      <c r="AA156" s="135"/>
    </row>
    <row r="157" spans="2:27" s="3" customFormat="1">
      <c r="B157" s="3" t="s">
        <v>179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  <c r="AA157" s="135"/>
    </row>
    <row r="158" spans="2:27" s="3" customFormat="1">
      <c r="B158" s="3" t="s">
        <v>180</v>
      </c>
      <c r="C158" s="14">
        <v>149</v>
      </c>
      <c r="D158" s="14">
        <v>23</v>
      </c>
      <c r="E158" s="14">
        <v>31</v>
      </c>
      <c r="F158" s="14">
        <v>26</v>
      </c>
      <c r="G158" s="14">
        <v>93</v>
      </c>
      <c r="H158" s="14">
        <v>22</v>
      </c>
      <c r="I158" s="14">
        <v>19</v>
      </c>
      <c r="J158" s="14">
        <v>30</v>
      </c>
      <c r="P158" s="145"/>
      <c r="Q158" s="14"/>
      <c r="R158" s="14"/>
      <c r="T158" s="14"/>
      <c r="AA158" s="135"/>
    </row>
    <row r="159" spans="2:27" s="3" customFormat="1">
      <c r="B159" s="3" t="s">
        <v>181</v>
      </c>
      <c r="C159" s="14">
        <v>18933</v>
      </c>
      <c r="D159" s="14">
        <v>27607</v>
      </c>
      <c r="E159" s="14">
        <v>18022</v>
      </c>
      <c r="F159" s="14">
        <v>14783</v>
      </c>
      <c r="G159" s="14">
        <v>11875</v>
      </c>
      <c r="H159" s="14">
        <v>12573</v>
      </c>
      <c r="I159" s="14">
        <v>7273</v>
      </c>
      <c r="J159" s="14">
        <v>8097</v>
      </c>
      <c r="AA159" s="135"/>
    </row>
    <row r="160" spans="2:27" s="3" customFormat="1">
      <c r="B160" s="3" t="s">
        <v>182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  <c r="P160" s="145"/>
      <c r="Q160" s="14"/>
      <c r="R160" s="14"/>
      <c r="T160" s="14"/>
      <c r="AA160" s="135"/>
    </row>
    <row r="161" spans="2:27" s="3" customFormat="1">
      <c r="B161" s="3" t="s">
        <v>183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35"/>
    </row>
    <row r="162" spans="2:27" s="3" customFormat="1">
      <c r="B162" s="3" t="s">
        <v>184</v>
      </c>
      <c r="C162" s="14">
        <v>59</v>
      </c>
      <c r="D162" s="14">
        <v>59</v>
      </c>
      <c r="E162" s="14">
        <v>59</v>
      </c>
      <c r="F162" s="14">
        <v>59</v>
      </c>
      <c r="G162" s="14">
        <v>55</v>
      </c>
      <c r="H162" s="14">
        <v>55</v>
      </c>
      <c r="I162" s="14">
        <v>56</v>
      </c>
      <c r="J162" s="14">
        <v>56</v>
      </c>
      <c r="P162" s="145"/>
      <c r="Q162" s="14"/>
      <c r="R162" s="14"/>
      <c r="T162" s="14"/>
      <c r="AA162" s="135"/>
    </row>
    <row r="163" spans="2:27" s="3" customFormat="1">
      <c r="B163" s="3" t="s">
        <v>185</v>
      </c>
      <c r="C163" s="14">
        <v>29</v>
      </c>
      <c r="D163" s="14">
        <v>12</v>
      </c>
      <c r="E163" s="14">
        <v>18</v>
      </c>
      <c r="F163" s="14">
        <v>10</v>
      </c>
      <c r="G163" s="14">
        <v>21</v>
      </c>
      <c r="H163" s="14">
        <v>10</v>
      </c>
      <c r="I163" s="14">
        <v>10</v>
      </c>
      <c r="J163" s="14">
        <v>9</v>
      </c>
      <c r="AA163" s="135"/>
    </row>
    <row r="164" spans="2:27" s="3" customFormat="1">
      <c r="B164" s="3" t="s">
        <v>186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45"/>
      <c r="Q164" s="14"/>
      <c r="R164" s="14"/>
      <c r="T164" s="14"/>
      <c r="AA164" s="135"/>
    </row>
    <row r="165" spans="2:27" s="3" customFormat="1">
      <c r="B165" s="3" t="s">
        <v>187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35"/>
    </row>
    <row r="166" spans="2:27" s="3" customFormat="1">
      <c r="B166" s="3" t="s">
        <v>188</v>
      </c>
      <c r="C166" s="14">
        <v>1590</v>
      </c>
      <c r="D166" s="14">
        <v>6</v>
      </c>
      <c r="E166" s="14">
        <v>6</v>
      </c>
      <c r="F166" s="14">
        <v>3</v>
      </c>
      <c r="G166" s="14">
        <v>1</v>
      </c>
      <c r="H166" s="14">
        <v>2</v>
      </c>
      <c r="I166" s="14">
        <v>6</v>
      </c>
      <c r="J166" s="14">
        <v>6</v>
      </c>
      <c r="P166" s="145"/>
      <c r="Q166" s="14"/>
      <c r="R166" s="14"/>
      <c r="T166" s="14"/>
      <c r="AA166" s="135"/>
    </row>
    <row r="167" spans="2:27" s="3" customFormat="1">
      <c r="B167" s="3" t="s">
        <v>189</v>
      </c>
      <c r="C167" s="14">
        <v>1678</v>
      </c>
      <c r="D167" s="14">
        <v>77</v>
      </c>
      <c r="E167" s="14">
        <v>83</v>
      </c>
      <c r="F167" s="14">
        <v>72</v>
      </c>
      <c r="G167" s="14">
        <v>78</v>
      </c>
      <c r="H167" s="14">
        <v>66</v>
      </c>
      <c r="I167" s="14">
        <v>72</v>
      </c>
      <c r="J167" s="14">
        <v>71</v>
      </c>
      <c r="AA167" s="135"/>
    </row>
    <row r="168" spans="2:27" s="3" customFormat="1">
      <c r="B168" s="3" t="s">
        <v>17</v>
      </c>
      <c r="C168" s="14">
        <v>20611</v>
      </c>
      <c r="D168" s="14">
        <v>27684</v>
      </c>
      <c r="E168" s="14">
        <v>18105</v>
      </c>
      <c r="F168" s="14">
        <v>14855</v>
      </c>
      <c r="G168" s="14">
        <v>11953</v>
      </c>
      <c r="H168" s="14">
        <v>12639</v>
      </c>
      <c r="I168" s="14">
        <v>7345</v>
      </c>
      <c r="J168" s="14">
        <v>8168</v>
      </c>
      <c r="P168" s="145"/>
      <c r="Q168" s="14"/>
      <c r="R168" s="14"/>
      <c r="T168" s="14"/>
      <c r="AA168" s="135"/>
    </row>
    <row r="169" spans="2:27" s="3" customFormat="1">
      <c r="B169" s="3" t="s">
        <v>190</v>
      </c>
      <c r="C169" s="14">
        <v>56819</v>
      </c>
      <c r="D169" s="14">
        <v>48461</v>
      </c>
      <c r="E169" s="14">
        <v>50566</v>
      </c>
      <c r="F169" s="14">
        <v>46198</v>
      </c>
      <c r="G169" s="14">
        <v>38661</v>
      </c>
      <c r="H169" s="14">
        <v>33313</v>
      </c>
      <c r="I169" s="14">
        <v>33457</v>
      </c>
      <c r="J169" s="14">
        <v>30445</v>
      </c>
      <c r="AA169" s="135"/>
    </row>
    <row r="170" spans="2:27" s="3" customFormat="1">
      <c r="B170" s="3" t="s">
        <v>198</v>
      </c>
      <c r="C170" s="14">
        <v>1341</v>
      </c>
      <c r="D170" s="14">
        <v>1341</v>
      </c>
      <c r="E170" s="14">
        <v>1341</v>
      </c>
      <c r="F170" s="14">
        <v>1341</v>
      </c>
      <c r="G170" s="14">
        <v>1341</v>
      </c>
      <c r="H170" s="14">
        <v>1341</v>
      </c>
      <c r="I170" s="14">
        <v>1341</v>
      </c>
      <c r="J170" s="14">
        <v>1341</v>
      </c>
      <c r="P170" s="145"/>
      <c r="Q170" s="14"/>
      <c r="R170" s="14"/>
      <c r="T170" s="14"/>
      <c r="AA170" s="135"/>
    </row>
    <row r="171" spans="2:27" s="3" customFormat="1">
      <c r="B171" s="3" t="s">
        <v>199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35"/>
    </row>
    <row r="172" spans="2:27" s="3" customFormat="1">
      <c r="B172" s="3" t="s">
        <v>200</v>
      </c>
      <c r="C172" s="14">
        <v>1556</v>
      </c>
      <c r="D172" s="14">
        <v>1556</v>
      </c>
      <c r="E172" s="14">
        <v>1556</v>
      </c>
      <c r="F172" s="14">
        <v>1556</v>
      </c>
      <c r="G172" s="14">
        <v>1556</v>
      </c>
      <c r="H172" s="14">
        <v>1556</v>
      </c>
      <c r="I172" s="14">
        <v>1556</v>
      </c>
      <c r="J172" s="14">
        <v>1556</v>
      </c>
      <c r="P172" s="145"/>
      <c r="Q172" s="14"/>
      <c r="R172" s="14"/>
      <c r="T172" s="14"/>
      <c r="AA172" s="135"/>
    </row>
    <row r="173" spans="2:27" s="3" customFormat="1">
      <c r="B173" s="3" t="s">
        <v>201</v>
      </c>
      <c r="C173" s="14">
        <v>6296</v>
      </c>
      <c r="D173" s="14">
        <v>6296</v>
      </c>
      <c r="E173" s="14">
        <v>4352</v>
      </c>
      <c r="F173" s="14">
        <v>4352</v>
      </c>
      <c r="G173" s="14">
        <v>4352</v>
      </c>
      <c r="H173" s="14">
        <v>4352</v>
      </c>
      <c r="I173" s="14">
        <v>3392</v>
      </c>
      <c r="J173" s="14">
        <v>3392</v>
      </c>
      <c r="AA173" s="135"/>
    </row>
    <row r="174" spans="2:27" s="3" customFormat="1">
      <c r="B174" s="3" t="s">
        <v>202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45"/>
      <c r="Q174" s="14"/>
      <c r="R174" s="14"/>
      <c r="T174" s="14"/>
      <c r="AA174" s="135"/>
    </row>
    <row r="175" spans="2:27" s="3" customFormat="1">
      <c r="B175" s="3" t="s">
        <v>203</v>
      </c>
      <c r="C175" s="14">
        <v>47219</v>
      </c>
      <c r="D175" s="14">
        <v>39013</v>
      </c>
      <c r="E175" s="14">
        <v>42974</v>
      </c>
      <c r="F175" s="14">
        <v>38566</v>
      </c>
      <c r="G175" s="14">
        <v>31140</v>
      </c>
      <c r="H175" s="14">
        <v>25854</v>
      </c>
      <c r="I175" s="14">
        <v>26916</v>
      </c>
      <c r="J175" s="14">
        <v>23916</v>
      </c>
      <c r="AA175" s="135"/>
    </row>
    <row r="176" spans="2:27" s="3" customFormat="1">
      <c r="B176" s="3" t="s">
        <v>204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45"/>
      <c r="Q176" s="14"/>
      <c r="R176" s="14"/>
      <c r="T176" s="14"/>
      <c r="AA176" s="135"/>
    </row>
    <row r="177" spans="2:27" s="3" customFormat="1">
      <c r="B177" s="3" t="s">
        <v>191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35"/>
    </row>
    <row r="178" spans="2:27" s="3" customFormat="1">
      <c r="B178" s="3" t="s">
        <v>192</v>
      </c>
      <c r="C178" s="14">
        <v>77431</v>
      </c>
      <c r="D178" s="14">
        <v>76145</v>
      </c>
      <c r="E178" s="14">
        <v>68672</v>
      </c>
      <c r="F178" s="14">
        <v>61054</v>
      </c>
      <c r="G178" s="14">
        <v>50614</v>
      </c>
      <c r="H178" s="14">
        <v>45952</v>
      </c>
      <c r="I178" s="14">
        <v>40801</v>
      </c>
      <c r="J178" s="14">
        <v>38614</v>
      </c>
      <c r="P178" s="145"/>
      <c r="Q178" s="14"/>
      <c r="R178" s="14"/>
      <c r="T178" s="14"/>
      <c r="AA178" s="135"/>
    </row>
    <row r="179" spans="2:27" s="3" customFormat="1">
      <c r="B179" s="3" t="s">
        <v>113</v>
      </c>
      <c r="D179" s="14"/>
      <c r="E179" s="14"/>
      <c r="G179" s="14"/>
      <c r="J179" s="14"/>
      <c r="AA179" s="135"/>
    </row>
    <row r="180" spans="2:27" s="3" customFormat="1">
      <c r="B180" s="3" t="s">
        <v>114</v>
      </c>
      <c r="J180" s="14"/>
      <c r="P180" s="145"/>
      <c r="Q180" s="14"/>
      <c r="R180" s="14"/>
      <c r="T180" s="14"/>
      <c r="AA180" s="135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35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45"/>
      <c r="Q182" s="14"/>
      <c r="R182" s="14"/>
      <c r="T182" s="14"/>
      <c r="AA182" s="135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35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45"/>
      <c r="Q184" s="14"/>
      <c r="R184" s="14"/>
      <c r="T184" s="14"/>
      <c r="AA184" s="135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35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45"/>
      <c r="Q186" s="14"/>
      <c r="R186" s="14"/>
      <c r="T186" s="14"/>
      <c r="AA186" s="135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35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45"/>
      <c r="Q188" s="14"/>
      <c r="R188" s="14"/>
      <c r="T188" s="14"/>
      <c r="AA188" s="135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35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45"/>
      <c r="Q190" s="14"/>
      <c r="R190" s="14"/>
      <c r="T190" s="14"/>
      <c r="AA190" s="135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35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45"/>
      <c r="Q192" s="14"/>
      <c r="R192" s="14"/>
      <c r="T192" s="14"/>
      <c r="AA192" s="135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35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45"/>
      <c r="Q194" s="14"/>
      <c r="R194" s="14"/>
      <c r="T194" s="14"/>
      <c r="AA194" s="135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135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45"/>
      <c r="Q196" s="14"/>
      <c r="R196" s="14"/>
      <c r="T196" s="14"/>
      <c r="AA196" s="135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135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135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135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135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135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135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45"/>
      <c r="W203" s="14"/>
      <c r="AA203" s="135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135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45"/>
      <c r="W205" s="14"/>
      <c r="AA205" s="135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135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45"/>
      <c r="W207" s="14"/>
      <c r="AA207" s="135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135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45"/>
      <c r="W209" s="14"/>
      <c r="AA209" s="135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135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45"/>
      <c r="W211" s="14"/>
      <c r="AA211" s="135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135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45"/>
      <c r="W213" s="14"/>
      <c r="AA213" s="135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135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45"/>
      <c r="W215" s="14"/>
      <c r="AA215" s="135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135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45"/>
      <c r="W217" s="14"/>
      <c r="AA217" s="135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135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45"/>
      <c r="W219" s="14"/>
      <c r="AA219" s="135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135"/>
    </row>
    <row r="221" spans="2:27" s="3" customFormat="1">
      <c r="B221" s="3" t="s">
        <v>2330</v>
      </c>
      <c r="C221" s="14"/>
      <c r="D221" s="14"/>
      <c r="E221" s="14"/>
      <c r="F221" s="14"/>
      <c r="G221" s="14"/>
      <c r="H221" s="14"/>
      <c r="I221" s="14"/>
      <c r="J221" s="14"/>
      <c r="P221" s="145"/>
      <c r="W221" s="14"/>
      <c r="AA221" s="135"/>
    </row>
    <row r="222" spans="2:27" s="3" customFormat="1">
      <c r="B222" s="3" t="s">
        <v>48</v>
      </c>
      <c r="C222" s="14"/>
      <c r="D222" s="14"/>
      <c r="E222" s="14"/>
      <c r="F222" s="14"/>
      <c r="G222" s="14"/>
      <c r="H222" s="14"/>
      <c r="I222" s="14"/>
      <c r="J222" s="14"/>
      <c r="AA222" s="135"/>
    </row>
    <row r="223" spans="2:27" s="3" customFormat="1">
      <c r="B223" s="3" t="s">
        <v>50</v>
      </c>
      <c r="C223" s="14" t="s">
        <v>2321</v>
      </c>
      <c r="D223" s="14" t="s">
        <v>229</v>
      </c>
      <c r="E223" s="14" t="s">
        <v>51</v>
      </c>
      <c r="F223" s="14" t="s">
        <v>52</v>
      </c>
      <c r="G223" s="14" t="s">
        <v>53</v>
      </c>
      <c r="H223" s="14" t="s">
        <v>54</v>
      </c>
      <c r="I223" s="14" t="s">
        <v>55</v>
      </c>
      <c r="J223" s="14" t="s">
        <v>56</v>
      </c>
      <c r="P223" s="145"/>
      <c r="W223" s="14"/>
      <c r="AA223" s="135"/>
    </row>
    <row r="224" spans="2:27" s="3" customFormat="1">
      <c r="B224" s="3" t="s">
        <v>115</v>
      </c>
      <c r="C224" s="14">
        <v>8206</v>
      </c>
      <c r="D224" s="14">
        <v>4824</v>
      </c>
      <c r="E224" s="14">
        <v>4407</v>
      </c>
      <c r="F224" s="14">
        <v>7431</v>
      </c>
      <c r="G224" s="14">
        <v>5286</v>
      </c>
      <c r="H224" s="14">
        <v>3722</v>
      </c>
      <c r="I224" s="14">
        <v>3000</v>
      </c>
      <c r="J224" s="14">
        <v>3405</v>
      </c>
      <c r="AA224" s="135"/>
    </row>
    <row r="225" spans="2:27" s="3" customFormat="1">
      <c r="B225" s="3" t="s">
        <v>116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45"/>
      <c r="W225" s="14"/>
      <c r="AA225" s="135"/>
    </row>
    <row r="226" spans="2:27" s="3" customFormat="1">
      <c r="B226" s="3" t="s">
        <v>117</v>
      </c>
      <c r="C226" s="14">
        <v>460</v>
      </c>
      <c r="D226" s="14">
        <v>453</v>
      </c>
      <c r="E226" s="14">
        <v>441</v>
      </c>
      <c r="F226" s="14">
        <v>452</v>
      </c>
      <c r="G226" s="14">
        <v>411</v>
      </c>
      <c r="H226" s="14">
        <v>393</v>
      </c>
      <c r="I226" s="14">
        <v>391</v>
      </c>
      <c r="J226" s="14">
        <v>377</v>
      </c>
      <c r="AA226" s="135"/>
    </row>
    <row r="227" spans="2:27" s="3" customFormat="1">
      <c r="B227" s="3" t="s">
        <v>118</v>
      </c>
      <c r="C227" s="14">
        <v>5</v>
      </c>
      <c r="D227" s="14">
        <v>5</v>
      </c>
      <c r="E227" s="14">
        <v>5</v>
      </c>
      <c r="F227" s="14">
        <v>4</v>
      </c>
      <c r="G227" s="14">
        <v>3</v>
      </c>
      <c r="H227" s="14">
        <v>4</v>
      </c>
      <c r="I227" s="14">
        <v>3</v>
      </c>
      <c r="J227" s="14">
        <v>4</v>
      </c>
      <c r="P227" s="145"/>
      <c r="W227" s="14"/>
      <c r="AA227" s="135"/>
    </row>
    <row r="228" spans="2:27" s="3" customFormat="1">
      <c r="B228" s="3" t="s">
        <v>119</v>
      </c>
      <c r="C228" s="14">
        <v>0</v>
      </c>
      <c r="D228" s="14">
        <v>1</v>
      </c>
      <c r="E228" s="14">
        <v>-1</v>
      </c>
      <c r="F228" s="14">
        <v>-8</v>
      </c>
      <c r="G228" s="14">
        <v>7</v>
      </c>
      <c r="H228" s="14">
        <v>-31</v>
      </c>
      <c r="I228" s="14">
        <v>0</v>
      </c>
      <c r="J228" s="14">
        <v>0</v>
      </c>
      <c r="AA228" s="135"/>
    </row>
    <row r="229" spans="2:27" s="3" customFormat="1">
      <c r="B229" s="3" t="s">
        <v>120</v>
      </c>
      <c r="C229" s="14">
        <v>-1</v>
      </c>
      <c r="D229" s="14">
        <v>2</v>
      </c>
      <c r="E229" s="14">
        <v>0</v>
      </c>
      <c r="F229" s="14">
        <v>0</v>
      </c>
      <c r="G229" s="14">
        <v>0</v>
      </c>
      <c r="H229" s="14">
        <v>-12</v>
      </c>
      <c r="I229" s="14">
        <v>12</v>
      </c>
      <c r="J229" s="14">
        <v>18</v>
      </c>
      <c r="P229" s="145"/>
      <c r="W229" s="14"/>
      <c r="AA229" s="135"/>
    </row>
    <row r="230" spans="2:27" s="3" customFormat="1">
      <c r="B230" s="3" t="s">
        <v>121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135"/>
    </row>
    <row r="231" spans="2:27" s="3" customFormat="1">
      <c r="B231" s="3" t="s">
        <v>122</v>
      </c>
      <c r="C231" s="14" t="s">
        <v>101</v>
      </c>
      <c r="D231" s="14" t="s">
        <v>101</v>
      </c>
      <c r="E231" s="14" t="s">
        <v>101</v>
      </c>
      <c r="F231" s="14" t="s">
        <v>101</v>
      </c>
      <c r="G231" s="14" t="s">
        <v>101</v>
      </c>
      <c r="H231" s="14" t="s">
        <v>101</v>
      </c>
      <c r="I231" s="14" t="s">
        <v>101</v>
      </c>
      <c r="J231" s="14" t="s">
        <v>101</v>
      </c>
      <c r="P231" s="145"/>
      <c r="W231" s="14"/>
      <c r="AA231" s="135"/>
    </row>
    <row r="232" spans="2:27" s="3" customFormat="1">
      <c r="B232" s="3" t="s">
        <v>123</v>
      </c>
      <c r="C232" s="14">
        <v>14</v>
      </c>
      <c r="D232" s="14">
        <v>0</v>
      </c>
      <c r="E232" s="14">
        <v>-1</v>
      </c>
      <c r="F232" s="14">
        <v>0</v>
      </c>
      <c r="G232" s="14">
        <v>0</v>
      </c>
      <c r="H232" s="14">
        <v>0</v>
      </c>
      <c r="I232" s="14">
        <v>0</v>
      </c>
      <c r="J232" s="14">
        <v>1</v>
      </c>
      <c r="AA232" s="135"/>
    </row>
    <row r="233" spans="2:27" s="3" customFormat="1">
      <c r="B233" s="3" t="s">
        <v>124</v>
      </c>
      <c r="C233" s="14">
        <v>-10</v>
      </c>
      <c r="D233" s="14">
        <v>-15</v>
      </c>
      <c r="E233" s="14">
        <v>-7</v>
      </c>
      <c r="F233" s="14">
        <v>-7</v>
      </c>
      <c r="G233" s="14">
        <v>-10</v>
      </c>
      <c r="H233" s="14">
        <v>-52</v>
      </c>
      <c r="I233" s="14">
        <v>-7</v>
      </c>
      <c r="J233" s="14">
        <v>-15</v>
      </c>
      <c r="P233" s="145"/>
      <c r="W233" s="14"/>
      <c r="AA233" s="135"/>
    </row>
    <row r="234" spans="2:27" s="3" customFormat="1">
      <c r="B234" s="3" t="s">
        <v>125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135"/>
    </row>
    <row r="235" spans="2:27">
      <c r="B235" s="3" t="s">
        <v>126</v>
      </c>
      <c r="C235" s="14">
        <v>-2415</v>
      </c>
      <c r="D235" s="14">
        <v>-2421</v>
      </c>
      <c r="E235" s="14">
        <v>5125</v>
      </c>
      <c r="F235" s="14">
        <v>-2652</v>
      </c>
      <c r="G235" s="14">
        <v>-2462</v>
      </c>
      <c r="H235" s="14">
        <v>-3764</v>
      </c>
      <c r="I235" s="14">
        <v>2365</v>
      </c>
      <c r="J235" s="14">
        <v>-840</v>
      </c>
      <c r="P235" s="68"/>
      <c r="W235" s="46"/>
    </row>
    <row r="236" spans="2:27">
      <c r="B236" s="3" t="s">
        <v>127</v>
      </c>
      <c r="C236" s="14">
        <v>-61</v>
      </c>
      <c r="D236" s="14">
        <v>462</v>
      </c>
      <c r="E236" s="14">
        <v>-1321</v>
      </c>
      <c r="F236" s="14">
        <v>-399</v>
      </c>
      <c r="G236" s="14">
        <v>-753</v>
      </c>
      <c r="H236" s="14">
        <v>320</v>
      </c>
      <c r="I236" s="14">
        <v>-14</v>
      </c>
      <c r="J236" s="14">
        <v>43</v>
      </c>
    </row>
    <row r="237" spans="2:27">
      <c r="B237" s="3" t="s">
        <v>128</v>
      </c>
      <c r="C237" s="14">
        <v>417</v>
      </c>
      <c r="D237" s="14">
        <v>238</v>
      </c>
      <c r="E237" s="14">
        <v>-1689</v>
      </c>
      <c r="F237" s="14">
        <v>921</v>
      </c>
      <c r="G237" s="14">
        <v>2453</v>
      </c>
      <c r="H237" s="14">
        <v>514</v>
      </c>
      <c r="I237" s="14">
        <v>-1396</v>
      </c>
      <c r="J237" s="14">
        <v>387</v>
      </c>
      <c r="P237" s="68"/>
      <c r="W237" s="46"/>
    </row>
    <row r="238" spans="2:27">
      <c r="B238" s="3" t="s">
        <v>129</v>
      </c>
      <c r="C238" s="14">
        <v>-234</v>
      </c>
      <c r="D238" s="14">
        <v>737</v>
      </c>
      <c r="E238" s="14">
        <v>1064</v>
      </c>
      <c r="F238" s="14">
        <v>2153</v>
      </c>
      <c r="G238" s="14">
        <v>117</v>
      </c>
      <c r="H238" s="14">
        <v>683</v>
      </c>
      <c r="I238" s="14">
        <v>612</v>
      </c>
      <c r="J238" s="14">
        <v>1209</v>
      </c>
    </row>
    <row r="239" spans="2:27">
      <c r="B239" s="3" t="s">
        <v>19</v>
      </c>
      <c r="C239" s="14">
        <v>6380</v>
      </c>
      <c r="D239" s="14">
        <v>4286</v>
      </c>
      <c r="E239" s="14">
        <v>8022</v>
      </c>
      <c r="F239" s="14">
        <v>7895</v>
      </c>
      <c r="G239" s="14">
        <v>5052</v>
      </c>
      <c r="H239" s="14">
        <v>1774</v>
      </c>
      <c r="I239" s="14">
        <v>4967</v>
      </c>
      <c r="J239" s="14">
        <v>4591</v>
      </c>
      <c r="P239" s="68"/>
      <c r="W239" s="46"/>
    </row>
    <row r="240" spans="2:27">
      <c r="B240" s="3" t="s">
        <v>130</v>
      </c>
      <c r="C240" s="14">
        <v>3241</v>
      </c>
      <c r="D240" s="14">
        <v>-3950</v>
      </c>
      <c r="E240" s="14">
        <v>1160</v>
      </c>
      <c r="F240" s="14">
        <v>698</v>
      </c>
      <c r="G240" s="14">
        <v>-317</v>
      </c>
      <c r="H240" s="14">
        <v>-91</v>
      </c>
      <c r="I240" s="14">
        <v>-144</v>
      </c>
      <c r="J240" s="14">
        <v>-1249</v>
      </c>
    </row>
    <row r="241" spans="2:23">
      <c r="B241" s="3" t="s">
        <v>131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100</v>
      </c>
      <c r="I241" s="14">
        <v>0</v>
      </c>
      <c r="J241" s="14">
        <v>0</v>
      </c>
      <c r="P241" s="68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132</v>
      </c>
      <c r="C243" s="14">
        <v>0</v>
      </c>
      <c r="D243" s="14">
        <v>0</v>
      </c>
      <c r="E243" s="14">
        <v>3</v>
      </c>
      <c r="F243" s="14">
        <v>1</v>
      </c>
      <c r="G243" s="14">
        <v>2</v>
      </c>
      <c r="H243" s="14">
        <v>0</v>
      </c>
      <c r="I243" s="14">
        <v>0</v>
      </c>
      <c r="J243" s="14">
        <v>1</v>
      </c>
      <c r="P243" s="68"/>
      <c r="W243" s="46"/>
    </row>
    <row r="244" spans="2:23">
      <c r="B244" s="3" t="s">
        <v>20</v>
      </c>
      <c r="C244" s="14">
        <v>-1001</v>
      </c>
      <c r="D244" s="14">
        <v>-874</v>
      </c>
      <c r="E244" s="14">
        <v>-692</v>
      </c>
      <c r="F244" s="14">
        <v>-3625</v>
      </c>
      <c r="G244" s="14">
        <v>-870</v>
      </c>
      <c r="H244" s="14">
        <v>-375</v>
      </c>
      <c r="I244" s="14">
        <v>-340</v>
      </c>
      <c r="J244" s="14">
        <v>-788</v>
      </c>
    </row>
    <row r="245" spans="2:23">
      <c r="B245" s="3" t="s">
        <v>133</v>
      </c>
      <c r="C245" s="14">
        <v>-5</v>
      </c>
      <c r="D245" s="14">
        <v>-4</v>
      </c>
      <c r="E245" s="14">
        <v>-8</v>
      </c>
      <c r="F245" s="14">
        <v>-632</v>
      </c>
      <c r="G245" s="14">
        <v>134</v>
      </c>
      <c r="H245" s="14">
        <v>-5</v>
      </c>
      <c r="I245" s="14">
        <v>-8</v>
      </c>
      <c r="J245" s="14">
        <v>-126</v>
      </c>
      <c r="P245" s="68"/>
      <c r="W245" s="46"/>
    </row>
    <row r="246" spans="2:23">
      <c r="B246" s="3" t="s">
        <v>134</v>
      </c>
      <c r="C246" s="14">
        <v>2234</v>
      </c>
      <c r="D246" s="14">
        <v>-4828</v>
      </c>
      <c r="E246" s="14">
        <v>463</v>
      </c>
      <c r="F246" s="14">
        <v>-3558</v>
      </c>
      <c r="G246" s="14">
        <v>-1052</v>
      </c>
      <c r="H246" s="14">
        <v>-371</v>
      </c>
      <c r="I246" s="14">
        <v>-492</v>
      </c>
      <c r="J246" s="14">
        <v>-2162</v>
      </c>
    </row>
    <row r="247" spans="2:23">
      <c r="B247" s="3" t="s">
        <v>135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8"/>
      <c r="W247" s="46"/>
    </row>
    <row r="248" spans="2:23">
      <c r="B248" s="3" t="s">
        <v>136</v>
      </c>
      <c r="C248" s="14">
        <v>-6841</v>
      </c>
      <c r="D248" s="14">
        <v>0</v>
      </c>
      <c r="E248" s="14">
        <v>0</v>
      </c>
      <c r="F248" s="14">
        <v>0</v>
      </c>
      <c r="G248" s="14">
        <v>-3823</v>
      </c>
      <c r="H248" s="14">
        <v>0</v>
      </c>
      <c r="I248" s="14">
        <v>0</v>
      </c>
      <c r="J248" s="14">
        <v>0</v>
      </c>
    </row>
    <row r="249" spans="2:23">
      <c r="B249" s="3" t="s">
        <v>137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8"/>
      <c r="W249" s="46"/>
    </row>
    <row r="250" spans="2:23">
      <c r="B250" s="3" t="s">
        <v>138</v>
      </c>
      <c r="C250" s="14">
        <v>-106</v>
      </c>
      <c r="D250" s="14">
        <v>90</v>
      </c>
      <c r="E250" s="14">
        <v>-11</v>
      </c>
      <c r="F250" s="14">
        <v>-21</v>
      </c>
      <c r="G250" s="14">
        <v>197</v>
      </c>
      <c r="H250" s="14">
        <v>2</v>
      </c>
      <c r="I250" s="14">
        <v>-70</v>
      </c>
      <c r="J250" s="14">
        <v>7</v>
      </c>
    </row>
    <row r="251" spans="2:23">
      <c r="B251" s="3" t="s">
        <v>139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  <c r="P251" s="68"/>
      <c r="W251" s="46"/>
    </row>
    <row r="252" spans="2:23">
      <c r="B252" s="3" t="s">
        <v>140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141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8"/>
      <c r="W253" s="46"/>
    </row>
    <row r="254" spans="2:23">
      <c r="B254" s="3" t="s">
        <v>142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143</v>
      </c>
      <c r="C255" s="14">
        <v>0</v>
      </c>
      <c r="D255" s="14">
        <v>0</v>
      </c>
      <c r="E255" s="14">
        <v>3</v>
      </c>
      <c r="F255" s="14">
        <v>1</v>
      </c>
      <c r="G255" s="14">
        <v>0</v>
      </c>
      <c r="H255" s="14">
        <v>-5</v>
      </c>
      <c r="I255" s="14">
        <v>0</v>
      </c>
      <c r="J255" s="14">
        <v>0</v>
      </c>
      <c r="P255" s="68"/>
      <c r="W255" s="46"/>
    </row>
    <row r="256" spans="2:23">
      <c r="B256" s="3" t="s">
        <v>144</v>
      </c>
      <c r="C256" s="14">
        <v>-6947</v>
      </c>
      <c r="D256" s="14">
        <v>90</v>
      </c>
      <c r="E256" s="14">
        <v>-8</v>
      </c>
      <c r="F256" s="14">
        <v>-19</v>
      </c>
      <c r="G256" s="14">
        <v>-3626</v>
      </c>
      <c r="H256" s="14">
        <v>-3</v>
      </c>
      <c r="I256" s="14">
        <v>-71</v>
      </c>
      <c r="J256" s="14">
        <v>7</v>
      </c>
    </row>
    <row r="257" spans="2:23">
      <c r="B257" s="3" t="s">
        <v>145</v>
      </c>
      <c r="C257" s="14">
        <v>139</v>
      </c>
      <c r="D257" s="14">
        <v>-38</v>
      </c>
      <c r="E257" s="14">
        <v>-30</v>
      </c>
      <c r="F257" s="14">
        <v>83</v>
      </c>
      <c r="G257" s="14">
        <v>56</v>
      </c>
      <c r="H257" s="14">
        <v>-36</v>
      </c>
      <c r="I257" s="14">
        <v>-3</v>
      </c>
      <c r="J257" s="14">
        <v>46</v>
      </c>
      <c r="P257" s="68"/>
      <c r="W257" s="46"/>
    </row>
    <row r="258" spans="2:23">
      <c r="B258" s="3" t="s">
        <v>146</v>
      </c>
      <c r="C258" s="14">
        <v>1807</v>
      </c>
      <c r="D258" s="14">
        <v>-490</v>
      </c>
      <c r="E258" s="14">
        <v>8447</v>
      </c>
      <c r="F258" s="14">
        <v>4401</v>
      </c>
      <c r="G258" s="14">
        <v>431</v>
      </c>
      <c r="H258" s="14">
        <v>1365</v>
      </c>
      <c r="I258" s="14">
        <v>4402</v>
      </c>
      <c r="J258" s="14">
        <v>2481</v>
      </c>
    </row>
    <row r="259" spans="2:23">
      <c r="B259" s="3" t="s">
        <v>147</v>
      </c>
      <c r="C259" s="14">
        <v>32058</v>
      </c>
      <c r="D259" s="14">
        <v>32547</v>
      </c>
      <c r="E259" s="14">
        <v>24100</v>
      </c>
      <c r="F259" s="14">
        <v>19700</v>
      </c>
      <c r="G259" s="14">
        <v>19269</v>
      </c>
      <c r="H259" s="14">
        <v>17904</v>
      </c>
      <c r="I259" s="14">
        <v>13503</v>
      </c>
      <c r="J259" s="14">
        <v>11022</v>
      </c>
      <c r="P259" s="68"/>
      <c r="W259" s="46"/>
    </row>
    <row r="260" spans="2:23">
      <c r="B260" s="3" t="s">
        <v>148</v>
      </c>
      <c r="C260" s="14">
        <v>33865</v>
      </c>
      <c r="D260" s="14">
        <v>32058</v>
      </c>
      <c r="E260" s="14">
        <v>32547</v>
      </c>
      <c r="F260" s="14">
        <v>24100</v>
      </c>
      <c r="G260" s="14">
        <v>19700</v>
      </c>
      <c r="H260" s="14">
        <v>19269</v>
      </c>
      <c r="I260" s="14">
        <v>17904</v>
      </c>
      <c r="J260" s="14">
        <v>13503</v>
      </c>
    </row>
    <row r="261" spans="2:23">
      <c r="B261" s="3" t="s">
        <v>149</v>
      </c>
      <c r="C261" s="14">
        <v>0</v>
      </c>
      <c r="D261" s="14">
        <v>0</v>
      </c>
      <c r="E261" s="14">
        <v>0</v>
      </c>
      <c r="F261" s="14">
        <v>0</v>
      </c>
      <c r="G261" s="14">
        <v>0</v>
      </c>
      <c r="H261" s="14">
        <v>0</v>
      </c>
      <c r="I261" s="14">
        <v>5</v>
      </c>
      <c r="J261" s="14">
        <v>0</v>
      </c>
      <c r="P261" s="68"/>
      <c r="W261" s="46"/>
    </row>
    <row r="262" spans="2:23">
      <c r="B262" s="3" t="s">
        <v>150</v>
      </c>
      <c r="C262" s="14" t="s">
        <v>101</v>
      </c>
      <c r="D262" s="14" t="s">
        <v>101</v>
      </c>
      <c r="E262" s="14" t="s">
        <v>101</v>
      </c>
      <c r="F262" s="14" t="s">
        <v>101</v>
      </c>
      <c r="G262" s="14" t="s">
        <v>101</v>
      </c>
      <c r="H262" s="14" t="s">
        <v>101</v>
      </c>
      <c r="I262" s="14" t="s">
        <v>101</v>
      </c>
      <c r="J262" s="14" t="s">
        <v>101</v>
      </c>
    </row>
    <row r="263" spans="2:23">
      <c r="B263" s="3" t="s">
        <v>151</v>
      </c>
      <c r="P263" s="68"/>
      <c r="W263" s="46"/>
    </row>
    <row r="264" spans="2:23">
      <c r="B264" s="3" t="s">
        <v>152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113</v>
      </c>
      <c r="C265" s="14"/>
      <c r="D265" s="14"/>
      <c r="E265" s="14"/>
      <c r="F265" s="14"/>
      <c r="G265" s="14"/>
      <c r="H265" s="14"/>
      <c r="I265" s="14"/>
      <c r="J265" s="14"/>
      <c r="P265" s="68"/>
      <c r="W265" s="46"/>
    </row>
    <row r="266" spans="2:23">
      <c r="B266" s="3" t="s">
        <v>114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8"/>
      <c r="W267" s="46"/>
    </row>
    <row r="269" spans="2:23">
      <c r="P269" s="68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8"/>
      <c r="W271" s="46"/>
    </row>
    <row r="272" spans="2:23">
      <c r="E272" s="14"/>
    </row>
    <row r="273" spans="3:23">
      <c r="E273" s="14"/>
      <c r="I273" s="14"/>
      <c r="P273" s="68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8"/>
      <c r="W275" s="46"/>
    </row>
    <row r="277" spans="3:23">
      <c r="P277" s="68"/>
      <c r="W277" s="46"/>
    </row>
    <row r="279" spans="3:23">
      <c r="P279" s="68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8"/>
      <c r="W281" s="46"/>
    </row>
    <row r="282" spans="3:23">
      <c r="C282" s="14"/>
      <c r="D282" s="14"/>
      <c r="E282" s="14"/>
      <c r="F282" s="14"/>
      <c r="G282" s="14"/>
    </row>
    <row r="283" spans="3:23">
      <c r="P283" s="68"/>
      <c r="W283" s="46"/>
    </row>
    <row r="284" spans="3:23">
      <c r="E284" s="14"/>
      <c r="I284" s="14"/>
    </row>
    <row r="285" spans="3:23">
      <c r="P285" s="68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8"/>
      <c r="W287" s="46"/>
    </row>
    <row r="289" spans="3:23">
      <c r="P289" s="68"/>
      <c r="W289" s="46"/>
    </row>
    <row r="291" spans="3:23">
      <c r="P291" s="68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8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8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8"/>
      <c r="W297" s="46"/>
    </row>
    <row r="299" spans="3:23">
      <c r="P299" s="68"/>
      <c r="W299" s="46"/>
    </row>
    <row r="301" spans="3:23">
      <c r="P301" s="68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8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8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8"/>
      <c r="W307" s="46"/>
    </row>
    <row r="308" spans="3:23">
      <c r="I308" s="14"/>
    </row>
    <row r="309" spans="3:23">
      <c r="E309" s="14"/>
      <c r="F309" s="14"/>
      <c r="I309" s="14"/>
      <c r="J309" s="14"/>
      <c r="P309" s="68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8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8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8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8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O55:Y55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X49:X50"/>
    <mergeCell ref="O49:O50"/>
    <mergeCell ref="P49:P50"/>
    <mergeCell ref="Q49:Q50"/>
    <mergeCell ref="R49:R50"/>
    <mergeCell ref="S49:S50"/>
    <mergeCell ref="F34:I34"/>
    <mergeCell ref="F20:I20"/>
    <mergeCell ref="F22:I22"/>
    <mergeCell ref="F28:I28"/>
    <mergeCell ref="F30:I30"/>
    <mergeCell ref="F32:I32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</mergeCells>
  <phoneticPr fontId="2" type="noConversion"/>
  <hyperlinks>
    <hyperlink ref="N51" r:id="rId1" display="https://tw.stock.yahoo.com/q/bc?s=3008"/>
    <hyperlink ref="N52" r:id="rId2" display="https://tw.stock.yahoo.com/pf/pfsel?stocklist=3008;"/>
    <hyperlink ref="N54" r:id="rId3" display="https://tw.stock.yahoo.com/pf/pfsel?stocklist=3008;"/>
    <hyperlink ref="Y51" r:id="rId4" display="https://tw.stock.yahoo.com/q/ts?s=3008"/>
    <hyperlink ref="Y54" r:id="rId5" display="https://tw.rd.yahoo.com/referurl/stock/other/SIG=125v47s73/**https:/tw.screener.finance.yahoo.net/screener/check.html?symid=3008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1068" r:id="rId10" name="CommandButton30">
          <controlPr defaultSize="0" autoLine="0" autoPict="0" r:id="rId11">
            <anchor moveWithCells="1">
              <from>
                <xdr:col>30</xdr:col>
                <xdr:colOff>9525</xdr:colOff>
                <xdr:row>0</xdr:row>
                <xdr:rowOff>0</xdr:rowOff>
              </from>
              <to>
                <xdr:col>30</xdr:col>
                <xdr:colOff>590550</xdr:colOff>
                <xdr:row>0</xdr:row>
                <xdr:rowOff>342900</xdr:rowOff>
              </to>
            </anchor>
          </controlPr>
        </control>
      </mc:Choice>
      <mc:Fallback>
        <control shapeId="1068" r:id="rId10" name="CommandButton30"/>
      </mc:Fallback>
    </mc:AlternateContent>
    <mc:AlternateContent xmlns:mc="http://schemas.openxmlformats.org/markup-compatibility/2006">
      <mc:Choice Requires="x14">
        <control shapeId="1066" r:id="rId12" name="CommandButton29">
          <controlPr defaultSize="0" autoLine="0" r:id="rId13">
            <anchor moveWithCells="1">
              <from>
                <xdr:col>8</xdr:col>
                <xdr:colOff>847725</xdr:colOff>
                <xdr:row>0</xdr:row>
                <xdr:rowOff>0</xdr:rowOff>
              </from>
              <to>
                <xdr:col>9</xdr:col>
                <xdr:colOff>304800</xdr:colOff>
                <xdr:row>0</xdr:row>
                <xdr:rowOff>333375</xdr:rowOff>
              </to>
            </anchor>
          </controlPr>
        </control>
      </mc:Choice>
      <mc:Fallback>
        <control shapeId="1066" r:id="rId12" name="CommandButton29"/>
      </mc:Fallback>
    </mc:AlternateContent>
    <mc:AlternateContent xmlns:mc="http://schemas.openxmlformats.org/markup-compatibility/2006">
      <mc:Choice Requires="x14">
        <control shapeId="1065" r:id="rId14" name="CommandButton28">
          <controlPr defaultSize="0" autoLine="0" r:id="rId15">
            <anchor moveWithCells="1">
              <from>
                <xdr:col>27</xdr:col>
                <xdr:colOff>38100</xdr:colOff>
                <xdr:row>30</xdr:row>
                <xdr:rowOff>38100</xdr:rowOff>
              </from>
              <to>
                <xdr:col>27</xdr:col>
                <xdr:colOff>1400175</xdr:colOff>
                <xdr:row>35</xdr:row>
                <xdr:rowOff>152400</xdr:rowOff>
              </to>
            </anchor>
          </controlPr>
        </control>
      </mc:Choice>
      <mc:Fallback>
        <control shapeId="1065" r:id="rId14" name="CommandButton28"/>
      </mc:Fallback>
    </mc:AlternateContent>
    <mc:AlternateContent xmlns:mc="http://schemas.openxmlformats.org/markup-compatibility/2006">
      <mc:Choice Requires="x14">
        <control shapeId="1063" r:id="rId16" name="CommandButton27">
          <controlPr defaultSize="0" autoLine="0" autoPict="0" r:id="rId17">
            <anchor moveWithCells="1">
              <from>
                <xdr:col>27</xdr:col>
                <xdr:colOff>47625</xdr:colOff>
                <xdr:row>21</xdr:row>
                <xdr:rowOff>123825</xdr:rowOff>
              </from>
              <to>
                <xdr:col>27</xdr:col>
                <xdr:colOff>704850</xdr:colOff>
                <xdr:row>23</xdr:row>
                <xdr:rowOff>104775</xdr:rowOff>
              </to>
            </anchor>
          </controlPr>
        </control>
      </mc:Choice>
      <mc:Fallback>
        <control shapeId="1063" r:id="rId16" name="CommandButton27"/>
      </mc:Fallback>
    </mc:AlternateContent>
    <mc:AlternateContent xmlns:mc="http://schemas.openxmlformats.org/markup-compatibility/2006">
      <mc:Choice Requires="x14">
        <control shapeId="1061" r:id="rId18" name="CommandButton26">
          <controlPr defaultSize="0" autoLine="0" r:id="rId19">
            <anchor moveWithCells="1">
              <from>
                <xdr:col>32</xdr:col>
                <xdr:colOff>533400</xdr:colOff>
                <xdr:row>0</xdr:row>
                <xdr:rowOff>0</xdr:rowOff>
              </from>
              <to>
                <xdr:col>34</xdr:col>
                <xdr:colOff>400050</xdr:colOff>
                <xdr:row>1</xdr:row>
                <xdr:rowOff>47625</xdr:rowOff>
              </to>
            </anchor>
          </controlPr>
        </control>
      </mc:Choice>
      <mc:Fallback>
        <control shapeId="1061" r:id="rId18" name="CommandButton26"/>
      </mc:Fallback>
    </mc:AlternateContent>
    <mc:AlternateContent xmlns:mc="http://schemas.openxmlformats.org/markup-compatibility/2006">
      <mc:Choice Requires="x14">
        <control shapeId="1055" r:id="rId20" name="CommandButton21">
          <controlPr defaultSize="0" autoLine="0" r:id="rId21">
            <anchor moveWithCells="1">
              <from>
                <xdr:col>28</xdr:col>
                <xdr:colOff>0</xdr:colOff>
                <xdr:row>19</xdr:row>
                <xdr:rowOff>47625</xdr:rowOff>
              </from>
              <to>
                <xdr:col>29</xdr:col>
                <xdr:colOff>638175</xdr:colOff>
                <xdr:row>21</xdr:row>
                <xdr:rowOff>38100</xdr:rowOff>
              </to>
            </anchor>
          </controlPr>
        </control>
      </mc:Choice>
      <mc:Fallback>
        <control shapeId="1055" r:id="rId20" name="CommandButton21"/>
      </mc:Fallback>
    </mc:AlternateContent>
    <mc:AlternateContent xmlns:mc="http://schemas.openxmlformats.org/markup-compatibility/2006">
      <mc:Choice Requires="x14">
        <control shapeId="1054" r:id="rId22" name="CommandButton20">
          <controlPr defaultSize="0" autoLine="0" autoPict="0" r:id="rId23">
            <anchor moveWithCells="1">
              <from>
                <xdr:col>28</xdr:col>
                <xdr:colOff>38100</xdr:colOff>
                <xdr:row>0</xdr:row>
                <xdr:rowOff>0</xdr:rowOff>
              </from>
              <to>
                <xdr:col>29</xdr:col>
                <xdr:colOff>647700</xdr:colOff>
                <xdr:row>0</xdr:row>
                <xdr:rowOff>342900</xdr:rowOff>
              </to>
            </anchor>
          </controlPr>
        </control>
      </mc:Choice>
      <mc:Fallback>
        <control shapeId="1054" r:id="rId22" name="CommandButton20"/>
      </mc:Fallback>
    </mc:AlternateContent>
    <mc:AlternateContent xmlns:mc="http://schemas.openxmlformats.org/markup-compatibility/2006">
      <mc:Choice Requires="x14">
        <control shapeId="1053" r:id="rId24" name="CommandButton19">
          <controlPr defaultSize="0" autoLine="0" autoPict="0" r:id="rId25">
            <anchor moveWithCells="1">
              <from>
                <xdr:col>28</xdr:col>
                <xdr:colOff>0</xdr:colOff>
                <xdr:row>30</xdr:row>
                <xdr:rowOff>19050</xdr:rowOff>
              </from>
              <to>
                <xdr:col>29</xdr:col>
                <xdr:colOff>638175</xdr:colOff>
                <xdr:row>35</xdr:row>
                <xdr:rowOff>114300</xdr:rowOff>
              </to>
            </anchor>
          </controlPr>
        </control>
      </mc:Choice>
      <mc:Fallback>
        <control shapeId="1053" r:id="rId24" name="CommandButton19"/>
      </mc:Fallback>
    </mc:AlternateContent>
    <mc:AlternateContent xmlns:mc="http://schemas.openxmlformats.org/markup-compatibility/2006">
      <mc:Choice Requires="x14">
        <control shapeId="1051" r:id="rId26" name="CommandButton17">
          <controlPr defaultSize="0" autoLine="0" r:id="rId27">
            <anchor moveWithCells="1">
              <from>
                <xdr:col>27</xdr:col>
                <xdr:colOff>1428750</xdr:colOff>
                <xdr:row>25</xdr:row>
                <xdr:rowOff>228600</xdr:rowOff>
              </from>
              <to>
                <xdr:col>29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51" r:id="rId26" name="CommandButton17"/>
      </mc:Fallback>
    </mc:AlternateContent>
    <mc:AlternateContent xmlns:mc="http://schemas.openxmlformats.org/markup-compatibility/2006">
      <mc:Choice Requires="x14">
        <control shapeId="1050" r:id="rId28" name="CommandButton16">
          <controlPr defaultSize="0" autoLine="0" r:id="rId29">
            <anchor moveWithCells="1">
              <from>
                <xdr:col>28</xdr:col>
                <xdr:colOff>0</xdr:colOff>
                <xdr:row>17</xdr:row>
                <xdr:rowOff>47625</xdr:rowOff>
              </from>
              <to>
                <xdr:col>29</xdr:col>
                <xdr:colOff>638175</xdr:colOff>
                <xdr:row>19</xdr:row>
                <xdr:rowOff>28575</xdr:rowOff>
              </to>
            </anchor>
          </controlPr>
        </control>
      </mc:Choice>
      <mc:Fallback>
        <control shapeId="1050" r:id="rId28" name="CommandButton16"/>
      </mc:Fallback>
    </mc:AlternateContent>
    <mc:AlternateContent xmlns:mc="http://schemas.openxmlformats.org/markup-compatibility/2006">
      <mc:Choice Requires="x14">
        <control shapeId="1049" r:id="rId30" name="CommandButton15">
          <controlPr defaultSize="0" autoLine="0" r:id="rId31">
            <anchor moveWithCells="1">
              <from>
                <xdr:col>28</xdr:col>
                <xdr:colOff>0</xdr:colOff>
                <xdr:row>27</xdr:row>
                <xdr:rowOff>171450</xdr:rowOff>
              </from>
              <to>
                <xdr:col>29</xdr:col>
                <xdr:colOff>638175</xdr:colOff>
                <xdr:row>29</xdr:row>
                <xdr:rowOff>161925</xdr:rowOff>
              </to>
            </anchor>
          </controlPr>
        </control>
      </mc:Choice>
      <mc:Fallback>
        <control shapeId="1049" r:id="rId30" name="CommandButton15"/>
      </mc:Fallback>
    </mc:AlternateContent>
    <mc:AlternateContent xmlns:mc="http://schemas.openxmlformats.org/markup-compatibility/2006">
      <mc:Choice Requires="x14">
        <control shapeId="1047" r:id="rId32" name="CommandButton14">
          <controlPr defaultSize="0" autoLine="0" r:id="rId33">
            <anchor moveWithCells="1">
              <from>
                <xdr:col>28</xdr:col>
                <xdr:colOff>0</xdr:colOff>
                <xdr:row>23</xdr:row>
                <xdr:rowOff>85725</xdr:rowOff>
              </from>
              <to>
                <xdr:col>29</xdr:col>
                <xdr:colOff>638175</xdr:colOff>
                <xdr:row>25</xdr:row>
                <xdr:rowOff>228600</xdr:rowOff>
              </to>
            </anchor>
          </controlPr>
        </control>
      </mc:Choice>
      <mc:Fallback>
        <control shapeId="1047" r:id="rId32" name="CommandButton14"/>
      </mc:Fallback>
    </mc:AlternateContent>
    <mc:AlternateContent xmlns:mc="http://schemas.openxmlformats.org/markup-compatibility/2006">
      <mc:Choice Requires="x14">
        <control shapeId="1045" r:id="rId34" name="CommandButton13">
          <controlPr defaultSize="0" autoLine="0" r:id="rId35">
            <anchor moveWithCells="1">
              <from>
                <xdr:col>28</xdr:col>
                <xdr:colOff>0</xdr:colOff>
                <xdr:row>21</xdr:row>
                <xdr:rowOff>57150</xdr:rowOff>
              </from>
              <to>
                <xdr:col>29</xdr:col>
                <xdr:colOff>638175</xdr:colOff>
                <xdr:row>23</xdr:row>
                <xdr:rowOff>47625</xdr:rowOff>
              </to>
            </anchor>
          </controlPr>
        </control>
      </mc:Choice>
      <mc:Fallback>
        <control shapeId="1045" r:id="rId34" name="CommandButton13"/>
      </mc:Fallback>
    </mc:AlternateContent>
    <mc:AlternateContent xmlns:mc="http://schemas.openxmlformats.org/markup-compatibility/2006">
      <mc:Choice Requires="x14">
        <control shapeId="1044" r:id="rId36" name="CommandButton12">
          <controlPr defaultSize="0" autoLine="0" autoPict="0" r:id="rId37">
            <anchor moveWithCells="1">
              <from>
                <xdr:col>27</xdr:col>
                <xdr:colOff>28575</xdr:colOff>
                <xdr:row>28</xdr:row>
                <xdr:rowOff>9525</xdr:rowOff>
              </from>
              <to>
                <xdr:col>27</xdr:col>
                <xdr:colOff>1371600</xdr:colOff>
                <xdr:row>30</xdr:row>
                <xdr:rowOff>0</xdr:rowOff>
              </to>
            </anchor>
          </controlPr>
        </control>
      </mc:Choice>
      <mc:Fallback>
        <control shapeId="1044" r:id="rId36" name="CommandButton12"/>
      </mc:Fallback>
    </mc:AlternateContent>
    <mc:AlternateContent xmlns:mc="http://schemas.openxmlformats.org/markup-compatibility/2006">
      <mc:Choice Requires="x14">
        <control shapeId="1042" r:id="rId38" name="CommandButton11">
          <controlPr defaultSize="0" autoLine="0" autoPict="0" r:id="rId39">
            <anchor moveWithCells="1">
              <from>
                <xdr:col>27</xdr:col>
                <xdr:colOff>38100</xdr:colOff>
                <xdr:row>23</xdr:row>
                <xdr:rowOff>123825</xdr:rowOff>
              </from>
              <to>
                <xdr:col>27</xdr:col>
                <xdr:colOff>1400175</xdr:colOff>
                <xdr:row>25</xdr:row>
                <xdr:rowOff>257175</xdr:rowOff>
              </to>
            </anchor>
          </controlPr>
        </control>
      </mc:Choice>
      <mc:Fallback>
        <control shapeId="1042" r:id="rId38" name="CommandButton11"/>
      </mc:Fallback>
    </mc:AlternateContent>
    <mc:AlternateContent xmlns:mc="http://schemas.openxmlformats.org/markup-compatibility/2006">
      <mc:Choice Requires="x14">
        <control shapeId="1034" r:id="rId40" name="CommandButton0">
          <controlPr defaultSize="0" autoLine="0" autoPict="0" r:id="rId41">
            <anchor moveWithCells="1">
              <from>
                <xdr:col>27</xdr:col>
                <xdr:colOff>19050</xdr:colOff>
                <xdr:row>0</xdr:row>
                <xdr:rowOff>0</xdr:rowOff>
              </from>
              <to>
                <xdr:col>27</xdr:col>
                <xdr:colOff>685800</xdr:colOff>
                <xdr:row>0</xdr:row>
                <xdr:rowOff>342900</xdr:rowOff>
              </to>
            </anchor>
          </controlPr>
        </control>
      </mc:Choice>
      <mc:Fallback>
        <control shapeId="1034" r:id="rId40" name="CommandButton0"/>
      </mc:Fallback>
    </mc:AlternateContent>
    <mc:AlternateContent xmlns:mc="http://schemas.openxmlformats.org/markup-compatibility/2006">
      <mc:Choice Requires="x14">
        <control shapeId="1033" r:id="rId42" name="CommandButton9">
          <controlPr defaultSize="0" autoLine="0" autoPict="0" r:id="rId43">
            <anchor moveWithCells="1">
              <from>
                <xdr:col>27</xdr:col>
                <xdr:colOff>28575</xdr:colOff>
                <xdr:row>25</xdr:row>
                <xdr:rowOff>304800</xdr:rowOff>
              </from>
              <to>
                <xdr:col>27</xdr:col>
                <xdr:colOff>1381125</xdr:colOff>
                <xdr:row>27</xdr:row>
                <xdr:rowOff>190500</xdr:rowOff>
              </to>
            </anchor>
          </controlPr>
        </control>
      </mc:Choice>
      <mc:Fallback>
        <control shapeId="1033" r:id="rId42" name="CommandButton9"/>
      </mc:Fallback>
    </mc:AlternateContent>
    <mc:AlternateContent xmlns:mc="http://schemas.openxmlformats.org/markup-compatibility/2006">
      <mc:Choice Requires="x14">
        <control shapeId="1032" r:id="rId44" name="CommandButton8">
          <controlPr defaultSize="0" autoLine="0" r:id="rId45">
            <anchor moveWithCells="1">
              <from>
                <xdr:col>9</xdr:col>
                <xdr:colOff>352425</xdr:colOff>
                <xdr:row>0</xdr:row>
                <xdr:rowOff>0</xdr:rowOff>
              </from>
              <to>
                <xdr:col>9</xdr:col>
                <xdr:colOff>752475</xdr:colOff>
                <xdr:row>0</xdr:row>
                <xdr:rowOff>333375</xdr:rowOff>
              </to>
            </anchor>
          </controlPr>
        </control>
      </mc:Choice>
      <mc:Fallback>
        <control shapeId="1032" r:id="rId44" name="CommandButton8"/>
      </mc:Fallback>
    </mc:AlternateContent>
    <mc:AlternateContent xmlns:mc="http://schemas.openxmlformats.org/markup-compatibility/2006">
      <mc:Choice Requires="x14">
        <control shapeId="1031" r:id="rId46" name="CommandButton7">
          <controlPr defaultSize="0" autoLine="0" r:id="rId47">
            <anchor moveWithCells="1">
              <from>
                <xdr:col>8</xdr:col>
                <xdr:colOff>133350</xdr:colOff>
                <xdr:row>0</xdr:row>
                <xdr:rowOff>0</xdr:rowOff>
              </from>
              <to>
                <xdr:col>8</xdr:col>
                <xdr:colOff>819150</xdr:colOff>
                <xdr:row>0</xdr:row>
                <xdr:rowOff>333375</xdr:rowOff>
              </to>
            </anchor>
          </controlPr>
        </control>
      </mc:Choice>
      <mc:Fallback>
        <control shapeId="1031" r:id="rId46" name="CommandButton7"/>
      </mc:Fallback>
    </mc:AlternateContent>
    <mc:AlternateContent xmlns:mc="http://schemas.openxmlformats.org/markup-compatibility/2006">
      <mc:Choice Requires="x14">
        <control shapeId="1030" r:id="rId48" name="CommandButton6">
          <controlPr defaultSize="0" autoLine="0" r:id="rId49">
            <anchor moveWithCells="1">
              <from>
                <xdr:col>7</xdr:col>
                <xdr:colOff>428625</xdr:colOff>
                <xdr:row>0</xdr:row>
                <xdr:rowOff>0</xdr:rowOff>
              </from>
              <to>
                <xdr:col>8</xdr:col>
                <xdr:colOff>142875</xdr:colOff>
                <xdr:row>0</xdr:row>
                <xdr:rowOff>333375</xdr:rowOff>
              </to>
            </anchor>
          </controlPr>
        </control>
      </mc:Choice>
      <mc:Fallback>
        <control shapeId="1030" r:id="rId48" name="CommandButton6"/>
      </mc:Fallback>
    </mc:AlternateContent>
    <mc:AlternateContent xmlns:mc="http://schemas.openxmlformats.org/markup-compatibility/2006">
      <mc:Choice Requires="x14">
        <control shapeId="1029" r:id="rId50" name="CommandButton5">
          <controlPr defaultSize="0" autoLine="0" r:id="rId51">
            <anchor moveWithCells="1">
              <from>
                <xdr:col>5</xdr:col>
                <xdr:colOff>952500</xdr:colOff>
                <xdr:row>0</xdr:row>
                <xdr:rowOff>0</xdr:rowOff>
              </from>
              <to>
                <xdr:col>6</xdr:col>
                <xdr:colOff>657225</xdr:colOff>
                <xdr:row>0</xdr:row>
                <xdr:rowOff>333375</xdr:rowOff>
              </to>
            </anchor>
          </controlPr>
        </control>
      </mc:Choice>
      <mc:Fallback>
        <control shapeId="1029" r:id="rId50" name="CommandButton5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685800</xdr:colOff>
                <xdr:row>0</xdr:row>
                <xdr:rowOff>0</xdr:rowOff>
              </from>
              <to>
                <xdr:col>7</xdr:col>
                <xdr:colOff>400050</xdr:colOff>
                <xdr:row>0</xdr:row>
                <xdr:rowOff>333375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7" r:id="rId54" name="CommandButton2">
          <controlPr defaultSize="0" autoLine="0" r:id="rId55">
            <anchor moveWithCells="1">
              <from>
                <xdr:col>5</xdr:col>
                <xdr:colOff>85725</xdr:colOff>
                <xdr:row>0</xdr:row>
                <xdr:rowOff>0</xdr:rowOff>
              </from>
              <to>
                <xdr:col>5</xdr:col>
                <xdr:colOff>923925</xdr:colOff>
                <xdr:row>0</xdr:row>
                <xdr:rowOff>333375</xdr:rowOff>
              </to>
            </anchor>
          </controlPr>
        </control>
      </mc:Choice>
      <mc:Fallback>
        <control shapeId="1027" r:id="rId54" name="CommandButton2"/>
      </mc:Fallback>
    </mc:AlternateContent>
    <mc:AlternateContent xmlns:mc="http://schemas.openxmlformats.org/markup-compatibility/2006">
      <mc:Choice Requires="x14">
        <control shapeId="1026" r:id="rId56" name="CommandButton1">
          <controlPr defaultSize="0" autoLine="0" r:id="rId57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5</xdr:col>
                <xdr:colOff>66675</xdr:colOff>
                <xdr:row>0</xdr:row>
                <xdr:rowOff>333375</xdr:rowOff>
              </to>
            </anchor>
          </controlPr>
        </control>
      </mc:Choice>
      <mc:Fallback>
        <control shapeId="1026" r:id="rId56" name="CommandButton1"/>
      </mc:Fallback>
    </mc:AlternateContent>
    <mc:AlternateContent xmlns:mc="http://schemas.openxmlformats.org/markup-compatibility/2006">
      <mc:Choice Requires="x14">
        <control shapeId="1025" r:id="rId58" name="ComboBox1">
          <controlPr defaultSize="0" autoLine="0" autoPict="0" linkedCell="A1" listFillRange="基本設定!F2:F500" r:id="rId59">
            <anchor moveWithCells="1">
              <from>
                <xdr:col>0</xdr:col>
                <xdr:colOff>180975</xdr:colOff>
                <xdr:row>0</xdr:row>
                <xdr:rowOff>0</xdr:rowOff>
              </from>
              <to>
                <xdr:col>1</xdr:col>
                <xdr:colOff>266700</xdr:colOff>
                <xdr:row>1</xdr:row>
                <xdr:rowOff>0</xdr:rowOff>
              </to>
            </anchor>
          </controlPr>
        </control>
      </mc:Choice>
      <mc:Fallback>
        <control shapeId="1025" r:id="rId58" name="ComboBox1"/>
      </mc:Fallback>
    </mc:AlternateContent>
    <mc:AlternateContent xmlns:mc="http://schemas.openxmlformats.org/markup-compatibility/2006">
      <mc:Choice Requires="x14">
        <control shapeId="1040" r:id="rId60" name="CommandButton3">
          <controlPr defaultSize="0" autoLine="0" autoPict="0" r:id="rId61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171450</xdr:colOff>
                <xdr:row>1</xdr:row>
                <xdr:rowOff>0</xdr:rowOff>
              </to>
            </anchor>
          </controlPr>
        </control>
      </mc:Choice>
      <mc:Fallback>
        <control shapeId="1040" r:id="rId60" name="CommandButton3"/>
      </mc:Fallback>
    </mc:AlternateContent>
    <mc:AlternateContent xmlns:mc="http://schemas.openxmlformats.org/markup-compatibility/2006">
      <mc:Choice Requires="x14">
        <control shapeId="1056" r:id="rId62" name="CommandButton10">
          <controlPr defaultSize="0" autoLine="0" r:id="rId63">
            <anchor moveWithCells="1">
              <from>
                <xdr:col>27</xdr:col>
                <xdr:colOff>752475</xdr:colOff>
                <xdr:row>17</xdr:row>
                <xdr:rowOff>66675</xdr:rowOff>
              </from>
              <to>
                <xdr:col>27</xdr:col>
                <xdr:colOff>1400175</xdr:colOff>
                <xdr:row>19</xdr:row>
                <xdr:rowOff>38100</xdr:rowOff>
              </to>
            </anchor>
          </controlPr>
        </control>
      </mc:Choice>
      <mc:Fallback>
        <control shapeId="1056" r:id="rId62" name="CommandButton10"/>
      </mc:Fallback>
    </mc:AlternateContent>
    <mc:AlternateContent xmlns:mc="http://schemas.openxmlformats.org/markup-compatibility/2006">
      <mc:Choice Requires="x14">
        <control shapeId="1057" r:id="rId64" name="CommandButton22">
          <controlPr defaultSize="0" autoLine="0" autoPict="0" r:id="rId65">
            <anchor moveWithCells="1">
              <from>
                <xdr:col>27</xdr:col>
                <xdr:colOff>47625</xdr:colOff>
                <xdr:row>17</xdr:row>
                <xdr:rowOff>66675</xdr:rowOff>
              </from>
              <to>
                <xdr:col>27</xdr:col>
                <xdr:colOff>704850</xdr:colOff>
                <xdr:row>19</xdr:row>
                <xdr:rowOff>38100</xdr:rowOff>
              </to>
            </anchor>
          </controlPr>
        </control>
      </mc:Choice>
      <mc:Fallback>
        <control shapeId="1057" r:id="rId64" name="CommandButton22"/>
      </mc:Fallback>
    </mc:AlternateContent>
    <mc:AlternateContent xmlns:mc="http://schemas.openxmlformats.org/markup-compatibility/2006">
      <mc:Choice Requires="x14">
        <control shapeId="1058" r:id="rId66" name="CommandButton23">
          <controlPr defaultSize="0" autoLine="0" autoPict="0" r:id="rId67">
            <anchor moveWithCells="1">
              <from>
                <xdr:col>27</xdr:col>
                <xdr:colOff>47625</xdr:colOff>
                <xdr:row>19</xdr:row>
                <xdr:rowOff>85725</xdr:rowOff>
              </from>
              <to>
                <xdr:col>27</xdr:col>
                <xdr:colOff>714375</xdr:colOff>
                <xdr:row>21</xdr:row>
                <xdr:rowOff>66675</xdr:rowOff>
              </to>
            </anchor>
          </controlPr>
        </control>
      </mc:Choice>
      <mc:Fallback>
        <control shapeId="1058" r:id="rId66" name="CommandButton23"/>
      </mc:Fallback>
    </mc:AlternateContent>
    <mc:AlternateContent xmlns:mc="http://schemas.openxmlformats.org/markup-compatibility/2006">
      <mc:Choice Requires="x14">
        <control shapeId="1059" r:id="rId68" name="CommandButton24">
          <controlPr defaultSize="0" autoLine="0" r:id="rId69">
            <anchor moveWithCells="1">
              <from>
                <xdr:col>27</xdr:col>
                <xdr:colOff>742950</xdr:colOff>
                <xdr:row>19</xdr:row>
                <xdr:rowOff>76200</xdr:rowOff>
              </from>
              <to>
                <xdr:col>27</xdr:col>
                <xdr:colOff>1381125</xdr:colOff>
                <xdr:row>21</xdr:row>
                <xdr:rowOff>57150</xdr:rowOff>
              </to>
            </anchor>
          </controlPr>
        </control>
      </mc:Choice>
      <mc:Fallback>
        <control shapeId="1059" r:id="rId68" name="CommandButton24"/>
      </mc:Fallback>
    </mc:AlternateContent>
    <mc:AlternateContent xmlns:mc="http://schemas.openxmlformats.org/markup-compatibility/2006">
      <mc:Choice Requires="x14">
        <control shapeId="1060" r:id="rId70" name="CommandButton25">
          <controlPr defaultSize="0" autoLine="0" autoPict="0" r:id="rId71">
            <anchor moveWithCells="1">
              <from>
                <xdr:col>27</xdr:col>
                <xdr:colOff>752475</xdr:colOff>
                <xdr:row>0</xdr:row>
                <xdr:rowOff>0</xdr:rowOff>
              </from>
              <to>
                <xdr:col>27</xdr:col>
                <xdr:colOff>1390650</xdr:colOff>
                <xdr:row>1</xdr:row>
                <xdr:rowOff>0</xdr:rowOff>
              </to>
            </anchor>
          </controlPr>
        </control>
      </mc:Choice>
      <mc:Fallback>
        <control shapeId="1060" r:id="rId70" name="CommandButton25"/>
      </mc:Fallback>
    </mc:AlternateContent>
    <mc:AlternateContent xmlns:mc="http://schemas.openxmlformats.org/markup-compatibility/2006">
      <mc:Choice Requires="x14">
        <control shapeId="1070" r:id="rId72" name="CommandButton32">
          <controlPr defaultSize="0" autoLine="0" r:id="rId73">
            <anchor moveWithCells="1">
              <from>
                <xdr:col>27</xdr:col>
                <xdr:colOff>723900</xdr:colOff>
                <xdr:row>21</xdr:row>
                <xdr:rowOff>114300</xdr:rowOff>
              </from>
              <to>
                <xdr:col>27</xdr:col>
                <xdr:colOff>1381125</xdr:colOff>
                <xdr:row>23</xdr:row>
                <xdr:rowOff>95250</xdr:rowOff>
              </to>
            </anchor>
          </controlPr>
        </control>
      </mc:Choice>
      <mc:Fallback>
        <control shapeId="1070" r:id="rId72" name="CommandButton3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評比系統"/>
  <dimension ref="A1:W1522"/>
  <sheetViews>
    <sheetView zoomScale="80" zoomScaleNormal="80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N3" sqref="N3"/>
    </sheetView>
  </sheetViews>
  <sheetFormatPr defaultRowHeight="19.5"/>
  <cols>
    <col min="1" max="1" width="9.625" style="20" customWidth="1"/>
    <col min="2" max="2" width="9.6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279" customWidth="1"/>
    <col min="20" max="20" width="34.375" bestFit="1" customWidth="1"/>
  </cols>
  <sheetData>
    <row r="1" spans="1:23" ht="26.25" thickBot="1">
      <c r="A1" s="343">
        <f ca="1">NOW()</f>
        <v>42320.879446412036</v>
      </c>
      <c r="B1" s="344"/>
      <c r="C1" s="345" t="s">
        <v>49</v>
      </c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6"/>
      <c r="O1" s="346"/>
      <c r="P1" s="24"/>
      <c r="Q1" s="61"/>
      <c r="R1" s="61"/>
      <c r="S1" s="277"/>
      <c r="T1" s="32"/>
    </row>
    <row r="2" spans="1:23" s="59" customFormat="1" ht="28.5" customHeight="1">
      <c r="A2" s="347" t="s">
        <v>39</v>
      </c>
      <c r="B2" s="348"/>
      <c r="C2" s="349" t="s">
        <v>253</v>
      </c>
      <c r="D2" s="350"/>
      <c r="E2" s="350"/>
      <c r="F2" s="350"/>
      <c r="G2" s="351"/>
      <c r="H2" s="355" t="s">
        <v>256</v>
      </c>
      <c r="I2" s="356"/>
      <c r="J2" s="356"/>
      <c r="K2" s="356"/>
      <c r="L2" s="356"/>
      <c r="M2" s="357"/>
      <c r="N2" s="194" t="s">
        <v>1907</v>
      </c>
      <c r="O2" s="352" t="s">
        <v>1963</v>
      </c>
      <c r="P2" s="353"/>
      <c r="Q2" s="353"/>
      <c r="R2" s="353"/>
      <c r="S2" s="354"/>
      <c r="T2" s="32"/>
      <c r="U2"/>
      <c r="V2"/>
      <c r="W2"/>
    </row>
    <row r="3" spans="1:23" ht="20.25" thickBot="1">
      <c r="A3" s="21" t="s">
        <v>40</v>
      </c>
      <c r="B3" s="22" t="s">
        <v>41</v>
      </c>
      <c r="C3" s="15" t="s">
        <v>42</v>
      </c>
      <c r="D3" s="16" t="s">
        <v>43</v>
      </c>
      <c r="E3" s="16" t="s">
        <v>44</v>
      </c>
      <c r="F3" s="16" t="s">
        <v>45</v>
      </c>
      <c r="G3" s="189" t="s">
        <v>46</v>
      </c>
      <c r="H3" s="17" t="s">
        <v>38</v>
      </c>
      <c r="I3" s="190" t="s">
        <v>251</v>
      </c>
      <c r="J3" s="191" t="s">
        <v>252</v>
      </c>
      <c r="K3" s="191" t="s">
        <v>254</v>
      </c>
      <c r="L3" s="191" t="s">
        <v>257</v>
      </c>
      <c r="M3" s="192" t="s">
        <v>1906</v>
      </c>
      <c r="N3" s="193" t="s">
        <v>545</v>
      </c>
      <c r="O3" s="70" t="s">
        <v>258</v>
      </c>
      <c r="P3" s="60" t="s">
        <v>259</v>
      </c>
      <c r="Q3" s="60" t="s">
        <v>255</v>
      </c>
      <c r="R3" s="60" t="s">
        <v>1962</v>
      </c>
      <c r="S3" s="278" t="s">
        <v>541</v>
      </c>
      <c r="T3" s="32"/>
    </row>
    <row r="4" spans="1:23">
      <c r="A4" s="20">
        <v>1565</v>
      </c>
      <c r="C4" s="18">
        <v>1</v>
      </c>
      <c r="D4" s="18">
        <v>1</v>
      </c>
      <c r="E4" s="18">
        <v>2</v>
      </c>
      <c r="F4" s="18">
        <v>1</v>
      </c>
      <c r="G4" s="18">
        <v>0</v>
      </c>
      <c r="H4" s="20">
        <v>1</v>
      </c>
      <c r="I4" s="20">
        <v>1</v>
      </c>
      <c r="J4" s="20">
        <v>0</v>
      </c>
      <c r="K4" s="20">
        <v>1</v>
      </c>
      <c r="L4" s="20">
        <v>0</v>
      </c>
      <c r="M4" s="58">
        <v>1</v>
      </c>
      <c r="N4" s="20">
        <f t="shared" ref="N4:N35" si="0">SUM(C4:M4)</f>
        <v>9</v>
      </c>
      <c r="T4" s="32"/>
    </row>
    <row r="5" spans="1:23">
      <c r="A5" s="20">
        <v>1724</v>
      </c>
      <c r="C5" s="18">
        <v>1</v>
      </c>
      <c r="D5" s="18">
        <v>1</v>
      </c>
      <c r="E5" s="18">
        <v>1</v>
      </c>
      <c r="F5" s="18">
        <v>1</v>
      </c>
      <c r="G5" s="18">
        <v>0</v>
      </c>
      <c r="H5" s="20">
        <v>1</v>
      </c>
      <c r="I5" s="20">
        <v>1</v>
      </c>
      <c r="J5" s="20">
        <v>0</v>
      </c>
      <c r="K5" s="20">
        <v>1</v>
      </c>
      <c r="L5" s="20">
        <v>0</v>
      </c>
      <c r="M5" s="58">
        <v>1</v>
      </c>
      <c r="N5" s="20">
        <f t="shared" si="0"/>
        <v>8</v>
      </c>
      <c r="T5" s="32"/>
    </row>
    <row r="6" spans="1:23">
      <c r="A6" s="20">
        <v>3088</v>
      </c>
      <c r="C6" s="18">
        <v>1</v>
      </c>
      <c r="D6" s="18">
        <v>1</v>
      </c>
      <c r="E6" s="18">
        <v>1</v>
      </c>
      <c r="F6" s="18">
        <v>1</v>
      </c>
      <c r="G6" s="18">
        <v>0</v>
      </c>
      <c r="H6" s="20">
        <v>1</v>
      </c>
      <c r="I6" s="20">
        <v>0</v>
      </c>
      <c r="J6" s="20">
        <v>1</v>
      </c>
      <c r="K6" s="20">
        <v>1</v>
      </c>
      <c r="L6" s="20">
        <v>0</v>
      </c>
      <c r="M6" s="58">
        <v>1</v>
      </c>
      <c r="N6" s="20">
        <f t="shared" si="0"/>
        <v>8</v>
      </c>
      <c r="T6" s="32"/>
    </row>
    <row r="7" spans="1:23">
      <c r="A7" s="20">
        <v>3264</v>
      </c>
      <c r="C7" s="18">
        <v>0</v>
      </c>
      <c r="D7" s="18">
        <v>1</v>
      </c>
      <c r="E7" s="18">
        <v>2</v>
      </c>
      <c r="F7" s="18">
        <v>1</v>
      </c>
      <c r="G7" s="18">
        <v>0</v>
      </c>
      <c r="H7" s="20">
        <v>1</v>
      </c>
      <c r="I7" s="20">
        <v>0</v>
      </c>
      <c r="J7" s="20">
        <v>1</v>
      </c>
      <c r="K7" s="20">
        <v>1</v>
      </c>
      <c r="L7" s="20">
        <v>0</v>
      </c>
      <c r="M7" s="58">
        <v>1</v>
      </c>
      <c r="N7" s="20">
        <f t="shared" si="0"/>
        <v>8</v>
      </c>
      <c r="T7" s="32"/>
    </row>
    <row r="8" spans="1:23">
      <c r="A8" s="20">
        <v>5274</v>
      </c>
      <c r="C8" s="18">
        <v>1</v>
      </c>
      <c r="D8" s="18">
        <v>1</v>
      </c>
      <c r="E8" s="18">
        <v>2</v>
      </c>
      <c r="F8" s="18">
        <v>1</v>
      </c>
      <c r="G8" s="18">
        <v>1</v>
      </c>
      <c r="H8" s="20">
        <v>1</v>
      </c>
      <c r="I8" s="20">
        <v>0</v>
      </c>
      <c r="J8" s="20">
        <v>0</v>
      </c>
      <c r="K8" s="20">
        <v>0</v>
      </c>
      <c r="L8" s="20">
        <v>0</v>
      </c>
      <c r="M8" s="58">
        <v>1</v>
      </c>
      <c r="N8" s="20">
        <f t="shared" si="0"/>
        <v>8</v>
      </c>
      <c r="T8" s="32"/>
    </row>
    <row r="9" spans="1:23">
      <c r="A9" s="20">
        <v>1730</v>
      </c>
      <c r="C9" s="18">
        <v>1</v>
      </c>
      <c r="D9" s="18">
        <v>1</v>
      </c>
      <c r="E9" s="18">
        <v>2</v>
      </c>
      <c r="F9" s="18">
        <v>1</v>
      </c>
      <c r="G9" s="18">
        <v>1</v>
      </c>
      <c r="H9" s="20">
        <v>1</v>
      </c>
      <c r="I9" s="20">
        <v>0</v>
      </c>
      <c r="J9" s="20">
        <v>0</v>
      </c>
      <c r="K9" s="20">
        <v>0</v>
      </c>
      <c r="L9" s="20">
        <v>0</v>
      </c>
      <c r="M9" s="58">
        <v>0</v>
      </c>
      <c r="N9" s="20">
        <f t="shared" si="0"/>
        <v>7</v>
      </c>
      <c r="T9" s="32"/>
    </row>
    <row r="10" spans="1:23">
      <c r="A10" s="20">
        <v>3265</v>
      </c>
      <c r="B10"/>
      <c r="C10" s="18">
        <v>0</v>
      </c>
      <c r="D10" s="18">
        <v>0</v>
      </c>
      <c r="E10" s="18">
        <v>2</v>
      </c>
      <c r="F10" s="18">
        <v>1</v>
      </c>
      <c r="G10" s="18">
        <v>1</v>
      </c>
      <c r="H10" s="20">
        <v>1</v>
      </c>
      <c r="I10" s="20">
        <v>0</v>
      </c>
      <c r="J10" s="20">
        <v>0</v>
      </c>
      <c r="K10" s="20">
        <v>1</v>
      </c>
      <c r="L10" s="20">
        <v>0</v>
      </c>
      <c r="M10" s="58">
        <v>1</v>
      </c>
      <c r="N10" s="20">
        <f t="shared" si="0"/>
        <v>7</v>
      </c>
      <c r="T10" s="32"/>
    </row>
    <row r="11" spans="1:23">
      <c r="A11" s="20">
        <v>3558</v>
      </c>
      <c r="C11" s="18">
        <v>1</v>
      </c>
      <c r="D11" s="18">
        <v>1</v>
      </c>
      <c r="E11" s="18">
        <v>2</v>
      </c>
      <c r="F11" s="18">
        <v>1</v>
      </c>
      <c r="G11" s="18">
        <v>1</v>
      </c>
      <c r="H11" s="20">
        <v>1</v>
      </c>
      <c r="I11" s="20">
        <v>0</v>
      </c>
      <c r="J11" s="20">
        <v>0</v>
      </c>
      <c r="K11" s="20">
        <v>0</v>
      </c>
      <c r="L11" s="20">
        <v>0</v>
      </c>
      <c r="M11" s="58">
        <v>0</v>
      </c>
      <c r="N11" s="20">
        <f t="shared" si="0"/>
        <v>7</v>
      </c>
      <c r="T11" s="32"/>
    </row>
    <row r="12" spans="1:23">
      <c r="A12" s="20">
        <v>3630</v>
      </c>
      <c r="C12" s="18">
        <v>0</v>
      </c>
      <c r="D12" s="18">
        <v>1</v>
      </c>
      <c r="E12" s="18">
        <v>2</v>
      </c>
      <c r="F12" s="18">
        <v>0</v>
      </c>
      <c r="G12" s="18">
        <v>0</v>
      </c>
      <c r="H12" s="20">
        <v>1</v>
      </c>
      <c r="I12" s="20">
        <v>1</v>
      </c>
      <c r="J12" s="20">
        <v>0</v>
      </c>
      <c r="K12" s="20">
        <v>1</v>
      </c>
      <c r="L12" s="20">
        <v>0</v>
      </c>
      <c r="M12" s="58">
        <v>1</v>
      </c>
      <c r="N12" s="20">
        <f t="shared" si="0"/>
        <v>7</v>
      </c>
      <c r="T12" s="32"/>
    </row>
    <row r="13" spans="1:23">
      <c r="A13" s="20">
        <v>5288</v>
      </c>
      <c r="C13" s="18">
        <v>1</v>
      </c>
      <c r="D13" s="18">
        <v>1</v>
      </c>
      <c r="E13" s="18">
        <v>1</v>
      </c>
      <c r="F13" s="18">
        <v>1</v>
      </c>
      <c r="G13" s="18">
        <v>0</v>
      </c>
      <c r="H13" s="20">
        <v>1</v>
      </c>
      <c r="I13" s="20">
        <v>1</v>
      </c>
      <c r="J13" s="20">
        <v>0</v>
      </c>
      <c r="K13" s="20">
        <v>0</v>
      </c>
      <c r="L13" s="20">
        <v>0</v>
      </c>
      <c r="M13" s="58">
        <v>1</v>
      </c>
      <c r="N13" s="20">
        <f t="shared" si="0"/>
        <v>7</v>
      </c>
      <c r="T13" s="32"/>
    </row>
    <row r="14" spans="1:23">
      <c r="A14" s="20">
        <v>5328</v>
      </c>
      <c r="C14" s="18">
        <v>1</v>
      </c>
      <c r="D14" s="18">
        <v>1</v>
      </c>
      <c r="E14" s="18">
        <v>1</v>
      </c>
      <c r="F14" s="18">
        <v>1</v>
      </c>
      <c r="G14" s="18">
        <v>0</v>
      </c>
      <c r="H14" s="20">
        <v>1</v>
      </c>
      <c r="I14" s="20">
        <v>0</v>
      </c>
      <c r="J14" s="20">
        <v>0</v>
      </c>
      <c r="K14" s="20">
        <v>1</v>
      </c>
      <c r="L14" s="20">
        <v>0</v>
      </c>
      <c r="M14" s="58">
        <v>1</v>
      </c>
      <c r="N14" s="20">
        <f t="shared" si="0"/>
        <v>7</v>
      </c>
      <c r="T14" s="32"/>
    </row>
    <row r="15" spans="1:23">
      <c r="A15" s="20">
        <v>6147</v>
      </c>
      <c r="C15" s="18">
        <v>0</v>
      </c>
      <c r="D15" s="18">
        <v>1</v>
      </c>
      <c r="E15" s="18">
        <v>2</v>
      </c>
      <c r="F15" s="18">
        <v>1</v>
      </c>
      <c r="G15" s="18">
        <v>0</v>
      </c>
      <c r="H15" s="20">
        <v>1</v>
      </c>
      <c r="I15" s="20">
        <v>0</v>
      </c>
      <c r="J15" s="20">
        <v>1</v>
      </c>
      <c r="K15" s="20">
        <v>1</v>
      </c>
      <c r="L15" s="20">
        <v>0</v>
      </c>
      <c r="M15" s="58">
        <v>0</v>
      </c>
      <c r="N15" s="20">
        <f t="shared" si="0"/>
        <v>7</v>
      </c>
      <c r="T15" s="32"/>
    </row>
    <row r="16" spans="1:23">
      <c r="A16" s="20">
        <v>6202</v>
      </c>
      <c r="C16" s="18">
        <v>1</v>
      </c>
      <c r="D16" s="18">
        <v>1</v>
      </c>
      <c r="E16" s="18">
        <v>0</v>
      </c>
      <c r="F16" s="18">
        <v>1</v>
      </c>
      <c r="G16" s="18">
        <v>1</v>
      </c>
      <c r="H16" s="20">
        <v>1</v>
      </c>
      <c r="I16" s="20">
        <v>0</v>
      </c>
      <c r="J16" s="20">
        <v>0</v>
      </c>
      <c r="K16" s="20">
        <v>1</v>
      </c>
      <c r="L16" s="20">
        <v>0</v>
      </c>
      <c r="M16" s="58">
        <v>1</v>
      </c>
      <c r="N16" s="20">
        <f t="shared" si="0"/>
        <v>7</v>
      </c>
      <c r="T16" s="32"/>
    </row>
    <row r="17" spans="1:20">
      <c r="A17" s="20">
        <v>6274</v>
      </c>
      <c r="C17" s="18">
        <v>1</v>
      </c>
      <c r="D17" s="18">
        <v>1</v>
      </c>
      <c r="E17" s="18">
        <v>0</v>
      </c>
      <c r="F17" s="18">
        <v>1</v>
      </c>
      <c r="G17" s="18">
        <v>0</v>
      </c>
      <c r="H17" s="20">
        <v>1</v>
      </c>
      <c r="I17" s="20">
        <v>0</v>
      </c>
      <c r="J17" s="20">
        <v>1</v>
      </c>
      <c r="K17" s="20">
        <v>1</v>
      </c>
      <c r="L17" s="20">
        <v>0</v>
      </c>
      <c r="M17" s="58">
        <v>1</v>
      </c>
      <c r="N17" s="20">
        <f t="shared" si="0"/>
        <v>7</v>
      </c>
      <c r="T17" s="32"/>
    </row>
    <row r="18" spans="1:20">
      <c r="A18" s="20">
        <v>8039</v>
      </c>
      <c r="C18" s="18">
        <v>1</v>
      </c>
      <c r="D18" s="18">
        <v>1</v>
      </c>
      <c r="E18" s="18">
        <v>2</v>
      </c>
      <c r="F18" s="18">
        <v>0</v>
      </c>
      <c r="G18" s="18">
        <v>1</v>
      </c>
      <c r="H18" s="20">
        <v>1</v>
      </c>
      <c r="I18" s="20">
        <v>0</v>
      </c>
      <c r="J18" s="20">
        <v>0</v>
      </c>
      <c r="K18" s="20">
        <v>1</v>
      </c>
      <c r="L18" s="20">
        <v>0</v>
      </c>
      <c r="M18" s="58">
        <v>0</v>
      </c>
      <c r="N18" s="20">
        <f t="shared" si="0"/>
        <v>7</v>
      </c>
      <c r="T18" s="32"/>
    </row>
    <row r="19" spans="1:20">
      <c r="A19" s="20">
        <v>2015</v>
      </c>
      <c r="C19" s="18">
        <v>0</v>
      </c>
      <c r="D19" s="18">
        <v>1</v>
      </c>
      <c r="E19" s="18">
        <v>1</v>
      </c>
      <c r="F19" s="18">
        <v>1</v>
      </c>
      <c r="G19" s="18">
        <v>0</v>
      </c>
      <c r="H19" s="20">
        <v>1</v>
      </c>
      <c r="I19" s="20">
        <v>0</v>
      </c>
      <c r="J19" s="20">
        <v>1</v>
      </c>
      <c r="K19" s="20">
        <v>1</v>
      </c>
      <c r="L19" s="20">
        <v>0</v>
      </c>
      <c r="M19" s="58">
        <v>0</v>
      </c>
      <c r="N19" s="20">
        <f t="shared" si="0"/>
        <v>6</v>
      </c>
      <c r="T19" s="32"/>
    </row>
    <row r="20" spans="1:20">
      <c r="A20" s="20">
        <v>2062</v>
      </c>
      <c r="C20" s="18">
        <v>0</v>
      </c>
      <c r="D20" s="18">
        <v>1</v>
      </c>
      <c r="E20" s="18">
        <v>0</v>
      </c>
      <c r="F20" s="18">
        <v>1</v>
      </c>
      <c r="G20" s="18">
        <v>1</v>
      </c>
      <c r="H20" s="20">
        <v>1</v>
      </c>
      <c r="I20" s="20">
        <v>0</v>
      </c>
      <c r="J20" s="20">
        <v>1</v>
      </c>
      <c r="K20" s="20">
        <v>0</v>
      </c>
      <c r="L20" s="20">
        <v>0</v>
      </c>
      <c r="M20" s="58">
        <v>1</v>
      </c>
      <c r="N20" s="20">
        <f t="shared" si="0"/>
        <v>6</v>
      </c>
      <c r="T20" s="32"/>
    </row>
    <row r="21" spans="1:20">
      <c r="A21" s="20">
        <v>2308</v>
      </c>
      <c r="C21" s="18">
        <v>1</v>
      </c>
      <c r="D21" s="18">
        <v>1</v>
      </c>
      <c r="E21" s="18">
        <v>0</v>
      </c>
      <c r="F21" s="18">
        <v>1</v>
      </c>
      <c r="G21" s="18">
        <v>1</v>
      </c>
      <c r="H21" s="20">
        <v>1</v>
      </c>
      <c r="I21" s="20">
        <v>1</v>
      </c>
      <c r="J21" s="20">
        <v>0</v>
      </c>
      <c r="K21" s="20">
        <v>0</v>
      </c>
      <c r="L21" s="20">
        <v>0</v>
      </c>
      <c r="M21" s="58">
        <v>0</v>
      </c>
      <c r="N21" s="20">
        <f t="shared" si="0"/>
        <v>6</v>
      </c>
      <c r="T21" s="32"/>
    </row>
    <row r="22" spans="1:20">
      <c r="A22" s="20">
        <v>2637</v>
      </c>
      <c r="C22" s="18">
        <v>1</v>
      </c>
      <c r="D22" s="18">
        <v>1</v>
      </c>
      <c r="E22" s="18">
        <v>1</v>
      </c>
      <c r="F22" s="18">
        <v>1</v>
      </c>
      <c r="G22" s="18">
        <v>1</v>
      </c>
      <c r="H22" s="20">
        <v>0</v>
      </c>
      <c r="I22" s="20">
        <v>1</v>
      </c>
      <c r="J22" s="20">
        <v>0</v>
      </c>
      <c r="K22" s="20">
        <v>0</v>
      </c>
      <c r="L22" s="20">
        <v>0</v>
      </c>
      <c r="M22" s="58">
        <v>0</v>
      </c>
      <c r="N22" s="20">
        <f t="shared" si="0"/>
        <v>6</v>
      </c>
      <c r="T22" s="32"/>
    </row>
    <row r="23" spans="1:20">
      <c r="A23" s="20">
        <v>3015</v>
      </c>
      <c r="C23" s="18">
        <v>1</v>
      </c>
      <c r="D23" s="18">
        <v>1</v>
      </c>
      <c r="E23" s="18">
        <v>0</v>
      </c>
      <c r="F23" s="18">
        <v>1</v>
      </c>
      <c r="G23" s="18">
        <v>0</v>
      </c>
      <c r="H23" s="20">
        <v>1</v>
      </c>
      <c r="I23" s="20">
        <v>0</v>
      </c>
      <c r="J23" s="20">
        <v>0</v>
      </c>
      <c r="K23" s="20">
        <v>1</v>
      </c>
      <c r="L23" s="20">
        <v>0</v>
      </c>
      <c r="M23" s="58">
        <v>1</v>
      </c>
      <c r="N23" s="20">
        <f t="shared" si="0"/>
        <v>6</v>
      </c>
      <c r="T23" s="32"/>
    </row>
    <row r="24" spans="1:20">
      <c r="A24" s="20">
        <v>3068</v>
      </c>
      <c r="C24" s="18">
        <v>1</v>
      </c>
      <c r="D24" s="18">
        <v>0</v>
      </c>
      <c r="E24" s="18">
        <v>2</v>
      </c>
      <c r="F24" s="18">
        <v>1</v>
      </c>
      <c r="G24" s="18">
        <v>0</v>
      </c>
      <c r="H24" s="20">
        <v>1</v>
      </c>
      <c r="I24" s="20">
        <v>0</v>
      </c>
      <c r="J24" s="20">
        <v>1</v>
      </c>
      <c r="K24" s="20">
        <v>0</v>
      </c>
      <c r="L24" s="20">
        <v>0</v>
      </c>
      <c r="M24" s="58">
        <v>0</v>
      </c>
      <c r="N24" s="20">
        <f t="shared" si="0"/>
        <v>6</v>
      </c>
      <c r="T24" s="32"/>
    </row>
    <row r="25" spans="1:20">
      <c r="A25" s="20">
        <v>3323</v>
      </c>
      <c r="B25"/>
      <c r="C25" s="18">
        <v>0</v>
      </c>
      <c r="D25" s="18">
        <v>1</v>
      </c>
      <c r="E25" s="18">
        <v>2</v>
      </c>
      <c r="F25" s="18">
        <v>1</v>
      </c>
      <c r="G25" s="18">
        <v>0</v>
      </c>
      <c r="H25" s="20">
        <v>1</v>
      </c>
      <c r="I25" s="20">
        <v>0</v>
      </c>
      <c r="J25" s="20">
        <v>0</v>
      </c>
      <c r="K25" s="20">
        <v>1</v>
      </c>
      <c r="L25" s="20">
        <v>0</v>
      </c>
      <c r="M25" s="58">
        <v>0</v>
      </c>
      <c r="N25" s="20">
        <f t="shared" si="0"/>
        <v>6</v>
      </c>
      <c r="T25" s="32"/>
    </row>
    <row r="26" spans="1:20">
      <c r="A26" s="20">
        <v>3529</v>
      </c>
      <c r="C26" s="18">
        <v>0</v>
      </c>
      <c r="D26" s="18">
        <v>0</v>
      </c>
      <c r="E26" s="18">
        <v>1</v>
      </c>
      <c r="F26" s="18">
        <v>1</v>
      </c>
      <c r="G26" s="18">
        <v>0</v>
      </c>
      <c r="H26" s="20">
        <v>1</v>
      </c>
      <c r="I26" s="20">
        <v>1</v>
      </c>
      <c r="J26" s="20">
        <v>0</v>
      </c>
      <c r="K26" s="20">
        <v>1</v>
      </c>
      <c r="L26" s="20">
        <v>0</v>
      </c>
      <c r="M26" s="58">
        <v>1</v>
      </c>
      <c r="N26" s="20">
        <f t="shared" si="0"/>
        <v>6</v>
      </c>
      <c r="T26" s="32"/>
    </row>
    <row r="27" spans="1:20">
      <c r="A27" s="20">
        <v>3587</v>
      </c>
      <c r="C27" s="18">
        <v>0</v>
      </c>
      <c r="D27" s="18">
        <v>1</v>
      </c>
      <c r="E27" s="18">
        <v>1</v>
      </c>
      <c r="F27" s="18">
        <v>1</v>
      </c>
      <c r="G27" s="18">
        <v>1</v>
      </c>
      <c r="H27" s="20">
        <v>1</v>
      </c>
      <c r="I27" s="20">
        <v>0</v>
      </c>
      <c r="J27" s="20">
        <v>0</v>
      </c>
      <c r="K27" s="20">
        <v>0</v>
      </c>
      <c r="L27" s="20">
        <v>0</v>
      </c>
      <c r="M27" s="58">
        <v>1</v>
      </c>
      <c r="N27" s="20">
        <f t="shared" si="0"/>
        <v>6</v>
      </c>
      <c r="T27" s="32"/>
    </row>
    <row r="28" spans="1:20">
      <c r="A28" s="20">
        <v>4188</v>
      </c>
      <c r="C28" s="18">
        <v>1</v>
      </c>
      <c r="D28" s="18">
        <v>1</v>
      </c>
      <c r="E28" s="18">
        <v>1</v>
      </c>
      <c r="F28" s="18">
        <v>1</v>
      </c>
      <c r="G28" s="18">
        <v>0</v>
      </c>
      <c r="H28" s="20">
        <v>1</v>
      </c>
      <c r="I28" s="20">
        <v>0</v>
      </c>
      <c r="J28" s="20">
        <v>0</v>
      </c>
      <c r="K28" s="20">
        <v>0</v>
      </c>
      <c r="L28" s="20">
        <v>0</v>
      </c>
      <c r="M28" s="58">
        <v>1</v>
      </c>
      <c r="N28" s="20">
        <f t="shared" si="0"/>
        <v>6</v>
      </c>
      <c r="T28" s="32"/>
    </row>
    <row r="29" spans="1:20">
      <c r="A29" s="20">
        <v>5203</v>
      </c>
      <c r="C29" s="18">
        <v>0</v>
      </c>
      <c r="D29" s="18">
        <v>1</v>
      </c>
      <c r="E29" s="18">
        <v>2</v>
      </c>
      <c r="F29" s="18">
        <v>0</v>
      </c>
      <c r="G29" s="18">
        <v>0</v>
      </c>
      <c r="H29" s="20">
        <v>1</v>
      </c>
      <c r="I29" s="20">
        <v>0</v>
      </c>
      <c r="J29" s="20">
        <v>0</v>
      </c>
      <c r="K29" s="20">
        <v>1</v>
      </c>
      <c r="L29" s="20">
        <v>0</v>
      </c>
      <c r="M29" s="58">
        <v>1</v>
      </c>
      <c r="N29" s="20">
        <f t="shared" si="0"/>
        <v>6</v>
      </c>
      <c r="T29" s="32"/>
    </row>
    <row r="30" spans="1:20">
      <c r="A30" s="20">
        <v>5490</v>
      </c>
      <c r="B30"/>
      <c r="C30" s="18">
        <v>0</v>
      </c>
      <c r="D30" s="18">
        <v>1</v>
      </c>
      <c r="E30" s="18">
        <v>0</v>
      </c>
      <c r="F30" s="18">
        <v>1</v>
      </c>
      <c r="G30" s="18">
        <v>1</v>
      </c>
      <c r="H30" s="20">
        <v>1</v>
      </c>
      <c r="I30" s="20">
        <v>0</v>
      </c>
      <c r="J30" s="20">
        <v>0</v>
      </c>
      <c r="K30" s="20">
        <v>1</v>
      </c>
      <c r="L30" s="20">
        <v>0</v>
      </c>
      <c r="M30" s="58">
        <v>1</v>
      </c>
      <c r="N30" s="20">
        <f t="shared" si="0"/>
        <v>6</v>
      </c>
      <c r="T30" s="32"/>
    </row>
    <row r="31" spans="1:20">
      <c r="A31" s="20">
        <v>5904</v>
      </c>
      <c r="C31" s="18">
        <v>1</v>
      </c>
      <c r="D31" s="18">
        <v>1</v>
      </c>
      <c r="E31" s="18">
        <v>0</v>
      </c>
      <c r="F31" s="18">
        <v>1</v>
      </c>
      <c r="G31" s="18">
        <v>1</v>
      </c>
      <c r="H31" s="20">
        <v>1</v>
      </c>
      <c r="I31" s="20">
        <v>0</v>
      </c>
      <c r="J31" s="20">
        <v>0</v>
      </c>
      <c r="K31" s="20">
        <v>1</v>
      </c>
      <c r="L31" s="20">
        <v>0</v>
      </c>
      <c r="M31" s="58">
        <v>0</v>
      </c>
      <c r="N31" s="20">
        <f t="shared" si="0"/>
        <v>6</v>
      </c>
      <c r="T31" s="32"/>
    </row>
    <row r="32" spans="1:20">
      <c r="A32" s="20">
        <v>8086</v>
      </c>
      <c r="C32" s="18">
        <v>1</v>
      </c>
      <c r="D32" s="18">
        <v>1</v>
      </c>
      <c r="E32" s="18">
        <v>2</v>
      </c>
      <c r="F32" s="18">
        <v>1</v>
      </c>
      <c r="G32" s="18">
        <v>0</v>
      </c>
      <c r="H32" s="20">
        <v>1</v>
      </c>
      <c r="I32" s="20">
        <v>0</v>
      </c>
      <c r="J32" s="20">
        <v>0</v>
      </c>
      <c r="K32" s="20">
        <v>0</v>
      </c>
      <c r="L32" s="20">
        <v>0</v>
      </c>
      <c r="M32" s="58">
        <v>0</v>
      </c>
      <c r="N32" s="20">
        <f t="shared" si="0"/>
        <v>6</v>
      </c>
      <c r="T32" s="32"/>
    </row>
    <row r="33" spans="1:20">
      <c r="A33" s="20">
        <v>8105</v>
      </c>
      <c r="C33" s="18">
        <v>1</v>
      </c>
      <c r="D33" s="18">
        <v>1</v>
      </c>
      <c r="E33" s="18">
        <v>0</v>
      </c>
      <c r="F33" s="18">
        <v>1</v>
      </c>
      <c r="G33" s="18">
        <v>0</v>
      </c>
      <c r="H33" s="20">
        <v>1</v>
      </c>
      <c r="I33" s="20">
        <v>0</v>
      </c>
      <c r="J33" s="20">
        <v>1</v>
      </c>
      <c r="K33" s="20">
        <v>0</v>
      </c>
      <c r="L33" s="20">
        <v>0</v>
      </c>
      <c r="M33" s="58">
        <v>1</v>
      </c>
      <c r="N33" s="20">
        <f t="shared" si="0"/>
        <v>6</v>
      </c>
      <c r="T33" s="32"/>
    </row>
    <row r="34" spans="1:20">
      <c r="A34" s="20">
        <v>2303</v>
      </c>
      <c r="C34" s="18">
        <v>0</v>
      </c>
      <c r="D34" s="18">
        <v>0</v>
      </c>
      <c r="E34" s="18">
        <v>0</v>
      </c>
      <c r="F34" s="18">
        <v>1</v>
      </c>
      <c r="G34" s="18">
        <v>1</v>
      </c>
      <c r="H34" s="20">
        <v>1</v>
      </c>
      <c r="I34" s="20">
        <v>0</v>
      </c>
      <c r="J34" s="20">
        <v>1</v>
      </c>
      <c r="K34" s="20">
        <v>1</v>
      </c>
      <c r="L34" s="20">
        <v>0</v>
      </c>
      <c r="M34" s="58">
        <v>0</v>
      </c>
      <c r="N34" s="20">
        <f t="shared" si="0"/>
        <v>5</v>
      </c>
      <c r="T34" s="32"/>
    </row>
    <row r="35" spans="1:20">
      <c r="A35" s="20">
        <v>2439</v>
      </c>
      <c r="C35" s="18">
        <v>0</v>
      </c>
      <c r="D35" s="18">
        <v>1</v>
      </c>
      <c r="E35" s="18">
        <v>0</v>
      </c>
      <c r="F35" s="18">
        <v>1</v>
      </c>
      <c r="G35" s="18">
        <v>0</v>
      </c>
      <c r="H35" s="20">
        <v>1</v>
      </c>
      <c r="I35" s="20">
        <v>1</v>
      </c>
      <c r="J35" s="20">
        <v>0</v>
      </c>
      <c r="K35" s="20">
        <v>0</v>
      </c>
      <c r="L35" s="20">
        <v>0</v>
      </c>
      <c r="M35" s="58">
        <v>1</v>
      </c>
      <c r="N35" s="20">
        <f t="shared" si="0"/>
        <v>5</v>
      </c>
      <c r="T35" s="32"/>
    </row>
    <row r="36" spans="1:20">
      <c r="A36" s="20">
        <v>3045</v>
      </c>
      <c r="C36" s="18">
        <v>1</v>
      </c>
      <c r="D36" s="18">
        <v>1</v>
      </c>
      <c r="E36" s="18">
        <v>1</v>
      </c>
      <c r="F36" s="18">
        <v>1</v>
      </c>
      <c r="G36" s="18">
        <v>0</v>
      </c>
      <c r="H36" s="20">
        <v>0</v>
      </c>
      <c r="I36" s="20">
        <v>0</v>
      </c>
      <c r="J36" s="20">
        <v>0</v>
      </c>
      <c r="K36" s="20">
        <v>1</v>
      </c>
      <c r="L36" s="20">
        <v>0</v>
      </c>
      <c r="M36" s="58">
        <v>0</v>
      </c>
      <c r="N36" s="20">
        <f t="shared" ref="N36:N67" si="1">SUM(C36:M36)</f>
        <v>5</v>
      </c>
      <c r="T36" s="32"/>
    </row>
    <row r="37" spans="1:20">
      <c r="A37" s="20">
        <v>3372</v>
      </c>
      <c r="C37" s="18">
        <v>0</v>
      </c>
      <c r="D37" s="18">
        <v>0</v>
      </c>
      <c r="E37" s="18">
        <v>2</v>
      </c>
      <c r="F37" s="18">
        <v>1</v>
      </c>
      <c r="G37" s="18">
        <v>0</v>
      </c>
      <c r="H37" s="20">
        <v>1</v>
      </c>
      <c r="I37" s="20">
        <v>0</v>
      </c>
      <c r="J37" s="20">
        <v>1</v>
      </c>
      <c r="K37" s="20">
        <v>0</v>
      </c>
      <c r="L37" s="20">
        <v>0</v>
      </c>
      <c r="M37" s="58">
        <v>0</v>
      </c>
      <c r="N37" s="20">
        <f t="shared" si="1"/>
        <v>5</v>
      </c>
      <c r="T37" s="32"/>
    </row>
    <row r="38" spans="1:20">
      <c r="A38" s="20">
        <v>3504</v>
      </c>
      <c r="C38" s="18">
        <v>0</v>
      </c>
      <c r="D38" s="18">
        <v>1</v>
      </c>
      <c r="E38" s="18">
        <v>1</v>
      </c>
      <c r="F38" s="18">
        <v>0</v>
      </c>
      <c r="G38" s="18">
        <v>0</v>
      </c>
      <c r="H38" s="20">
        <v>1</v>
      </c>
      <c r="I38" s="20">
        <v>0</v>
      </c>
      <c r="J38" s="20">
        <v>0</v>
      </c>
      <c r="K38" s="20">
        <v>1</v>
      </c>
      <c r="L38" s="20">
        <v>0</v>
      </c>
      <c r="M38" s="58">
        <v>1</v>
      </c>
      <c r="N38" s="20">
        <f t="shared" si="1"/>
        <v>5</v>
      </c>
      <c r="T38" s="32"/>
    </row>
    <row r="39" spans="1:20">
      <c r="A39" s="20">
        <v>3675</v>
      </c>
      <c r="C39" s="18">
        <v>1</v>
      </c>
      <c r="D39" s="18">
        <v>1</v>
      </c>
      <c r="E39" s="18">
        <v>1</v>
      </c>
      <c r="F39" s="18">
        <v>1</v>
      </c>
      <c r="G39" s="18">
        <v>0</v>
      </c>
      <c r="H39" s="20">
        <v>0</v>
      </c>
      <c r="I39" s="20">
        <v>0</v>
      </c>
      <c r="J39" s="20">
        <v>0</v>
      </c>
      <c r="K39" s="20">
        <v>1</v>
      </c>
      <c r="L39" s="20">
        <v>0</v>
      </c>
      <c r="M39" s="58">
        <v>0</v>
      </c>
      <c r="N39" s="20">
        <f t="shared" si="1"/>
        <v>5</v>
      </c>
      <c r="T39" s="32"/>
    </row>
    <row r="40" spans="1:20">
      <c r="A40" s="20">
        <v>4126</v>
      </c>
      <c r="C40" s="18">
        <v>1</v>
      </c>
      <c r="D40" s="18">
        <v>1</v>
      </c>
      <c r="E40" s="18">
        <v>1</v>
      </c>
      <c r="F40" s="18">
        <v>1</v>
      </c>
      <c r="G40" s="18">
        <v>0</v>
      </c>
      <c r="H40" s="20">
        <v>1</v>
      </c>
      <c r="I40" s="20">
        <v>0</v>
      </c>
      <c r="J40" s="20">
        <v>0</v>
      </c>
      <c r="K40" s="20">
        <v>0</v>
      </c>
      <c r="L40" s="20">
        <v>0</v>
      </c>
      <c r="M40" s="58">
        <v>0</v>
      </c>
      <c r="N40" s="20">
        <f t="shared" si="1"/>
        <v>5</v>
      </c>
      <c r="T40" s="32"/>
    </row>
    <row r="41" spans="1:20">
      <c r="A41" s="20">
        <v>4721</v>
      </c>
      <c r="C41" s="18">
        <v>1</v>
      </c>
      <c r="D41" s="18">
        <v>1</v>
      </c>
      <c r="E41" s="18">
        <v>0</v>
      </c>
      <c r="F41" s="18">
        <v>1</v>
      </c>
      <c r="G41" s="18">
        <v>0</v>
      </c>
      <c r="H41" s="20">
        <v>1</v>
      </c>
      <c r="I41" s="20">
        <v>0</v>
      </c>
      <c r="J41" s="20">
        <v>0</v>
      </c>
      <c r="K41" s="20">
        <v>0</v>
      </c>
      <c r="L41" s="20">
        <v>0</v>
      </c>
      <c r="M41" s="58">
        <v>1</v>
      </c>
      <c r="N41" s="20">
        <f t="shared" si="1"/>
        <v>5</v>
      </c>
      <c r="T41" s="32"/>
    </row>
    <row r="42" spans="1:20">
      <c r="A42" s="20">
        <v>4919</v>
      </c>
      <c r="C42" s="18">
        <v>0</v>
      </c>
      <c r="D42" s="18">
        <v>1</v>
      </c>
      <c r="E42" s="18">
        <v>0</v>
      </c>
      <c r="F42" s="18">
        <v>0</v>
      </c>
      <c r="G42" s="18">
        <v>0</v>
      </c>
      <c r="H42" s="20">
        <v>1</v>
      </c>
      <c r="I42" s="20">
        <v>1</v>
      </c>
      <c r="J42" s="20">
        <v>0</v>
      </c>
      <c r="K42" s="20">
        <v>1</v>
      </c>
      <c r="L42" s="20">
        <v>0</v>
      </c>
      <c r="M42" s="58">
        <v>1</v>
      </c>
      <c r="N42" s="20">
        <f t="shared" si="1"/>
        <v>5</v>
      </c>
      <c r="T42" s="32"/>
    </row>
    <row r="43" spans="1:20">
      <c r="A43" s="20">
        <v>4966</v>
      </c>
      <c r="C43" s="18">
        <v>0</v>
      </c>
      <c r="D43" s="18">
        <v>0</v>
      </c>
      <c r="E43" s="18">
        <v>2</v>
      </c>
      <c r="F43" s="18">
        <v>0</v>
      </c>
      <c r="G43" s="18">
        <v>0</v>
      </c>
      <c r="H43" s="20">
        <v>1</v>
      </c>
      <c r="I43" s="20">
        <v>1</v>
      </c>
      <c r="J43" s="20">
        <v>0</v>
      </c>
      <c r="K43" s="20">
        <v>0</v>
      </c>
      <c r="L43" s="20">
        <v>0</v>
      </c>
      <c r="M43" s="58">
        <v>1</v>
      </c>
      <c r="N43" s="20">
        <f t="shared" si="1"/>
        <v>5</v>
      </c>
      <c r="T43" s="32"/>
    </row>
    <row r="44" spans="1:20">
      <c r="A44" s="20">
        <v>4991</v>
      </c>
      <c r="C44" s="18">
        <v>0</v>
      </c>
      <c r="D44" s="18">
        <v>1</v>
      </c>
      <c r="E44" s="18">
        <v>1</v>
      </c>
      <c r="F44" s="18">
        <v>1</v>
      </c>
      <c r="G44" s="18">
        <v>1</v>
      </c>
      <c r="H44" s="20">
        <v>1</v>
      </c>
      <c r="I44" s="20">
        <v>0</v>
      </c>
      <c r="J44" s="20">
        <v>0</v>
      </c>
      <c r="K44" s="20">
        <v>0</v>
      </c>
      <c r="L44" s="20">
        <v>0</v>
      </c>
      <c r="M44" s="58">
        <v>0</v>
      </c>
      <c r="N44" s="20">
        <f t="shared" si="1"/>
        <v>5</v>
      </c>
      <c r="T44" s="32"/>
    </row>
    <row r="45" spans="1:20">
      <c r="A45" s="20">
        <v>6176</v>
      </c>
      <c r="C45" s="18">
        <v>0</v>
      </c>
      <c r="D45" s="18">
        <v>1</v>
      </c>
      <c r="E45" s="18">
        <v>2</v>
      </c>
      <c r="F45" s="18">
        <v>0</v>
      </c>
      <c r="G45" s="18">
        <v>0</v>
      </c>
      <c r="H45" s="20">
        <v>1</v>
      </c>
      <c r="I45" s="20">
        <v>1</v>
      </c>
      <c r="J45" s="20">
        <v>0</v>
      </c>
      <c r="K45" s="20">
        <v>0</v>
      </c>
      <c r="L45" s="20">
        <v>0</v>
      </c>
      <c r="M45" s="58">
        <v>0</v>
      </c>
      <c r="N45" s="20">
        <f t="shared" si="1"/>
        <v>5</v>
      </c>
      <c r="T45" s="32"/>
    </row>
    <row r="46" spans="1:20">
      <c r="A46" s="20">
        <v>6213</v>
      </c>
      <c r="C46" s="18">
        <v>1</v>
      </c>
      <c r="D46" s="18">
        <v>1</v>
      </c>
      <c r="E46" s="18">
        <v>2</v>
      </c>
      <c r="F46" s="18">
        <v>0</v>
      </c>
      <c r="G46" s="18">
        <v>0</v>
      </c>
      <c r="H46" s="20">
        <v>1</v>
      </c>
      <c r="I46" s="20">
        <v>0</v>
      </c>
      <c r="J46" s="20">
        <v>0</v>
      </c>
      <c r="K46" s="20">
        <v>0</v>
      </c>
      <c r="L46" s="20">
        <v>0</v>
      </c>
      <c r="M46" s="58">
        <v>0</v>
      </c>
      <c r="N46" s="20">
        <f t="shared" si="1"/>
        <v>5</v>
      </c>
      <c r="T46" s="32"/>
    </row>
    <row r="47" spans="1:20">
      <c r="A47" s="20">
        <v>8079</v>
      </c>
      <c r="C47" s="18">
        <v>0</v>
      </c>
      <c r="D47" s="18">
        <v>1</v>
      </c>
      <c r="E47" s="18">
        <v>2</v>
      </c>
      <c r="F47" s="18">
        <v>1</v>
      </c>
      <c r="G47" s="18">
        <v>0</v>
      </c>
      <c r="H47" s="20">
        <v>0</v>
      </c>
      <c r="I47" s="20">
        <v>0</v>
      </c>
      <c r="J47" s="20">
        <v>0</v>
      </c>
      <c r="K47" s="20">
        <v>1</v>
      </c>
      <c r="L47" s="20">
        <v>0</v>
      </c>
      <c r="M47" s="58">
        <v>0</v>
      </c>
      <c r="N47" s="20">
        <f t="shared" si="1"/>
        <v>5</v>
      </c>
      <c r="T47" s="32"/>
    </row>
    <row r="48" spans="1:20">
      <c r="A48" s="20">
        <v>8942</v>
      </c>
      <c r="C48" s="18">
        <v>1</v>
      </c>
      <c r="D48" s="18">
        <v>1</v>
      </c>
      <c r="E48" s="18">
        <v>0</v>
      </c>
      <c r="F48" s="18">
        <v>1</v>
      </c>
      <c r="G48" s="18">
        <v>0</v>
      </c>
      <c r="H48" s="20">
        <v>1</v>
      </c>
      <c r="I48" s="20">
        <v>0</v>
      </c>
      <c r="J48" s="20">
        <v>0</v>
      </c>
      <c r="K48" s="20">
        <v>1</v>
      </c>
      <c r="L48" s="20">
        <v>0</v>
      </c>
      <c r="M48" s="58">
        <v>0</v>
      </c>
      <c r="N48" s="20">
        <f t="shared" si="1"/>
        <v>5</v>
      </c>
      <c r="T48" s="32"/>
    </row>
    <row r="49" spans="1:20">
      <c r="A49" s="20">
        <v>1560</v>
      </c>
      <c r="C49" s="18">
        <v>0</v>
      </c>
      <c r="D49" s="18">
        <v>0</v>
      </c>
      <c r="E49" s="18">
        <v>2</v>
      </c>
      <c r="F49" s="18">
        <v>1</v>
      </c>
      <c r="G49" s="18">
        <v>0</v>
      </c>
      <c r="H49" s="20">
        <v>1</v>
      </c>
      <c r="I49" s="20">
        <v>0</v>
      </c>
      <c r="J49" s="20">
        <v>0</v>
      </c>
      <c r="K49" s="20">
        <v>0</v>
      </c>
      <c r="L49" s="20">
        <v>0</v>
      </c>
      <c r="M49" s="58">
        <v>0</v>
      </c>
      <c r="N49" s="20">
        <f t="shared" si="1"/>
        <v>4</v>
      </c>
      <c r="T49" s="32"/>
    </row>
    <row r="50" spans="1:20">
      <c r="A50" s="20">
        <v>2489</v>
      </c>
      <c r="C50" s="18">
        <v>0</v>
      </c>
      <c r="D50" s="18">
        <v>1</v>
      </c>
      <c r="E50" s="18">
        <v>1</v>
      </c>
      <c r="F50" s="18">
        <v>0</v>
      </c>
      <c r="G50" s="18">
        <v>0</v>
      </c>
      <c r="H50" s="20">
        <v>1</v>
      </c>
      <c r="I50" s="20">
        <v>1</v>
      </c>
      <c r="J50" s="20">
        <v>0</v>
      </c>
      <c r="K50" s="20">
        <v>0</v>
      </c>
      <c r="L50" s="20">
        <v>0</v>
      </c>
      <c r="M50" s="58">
        <v>0</v>
      </c>
      <c r="N50" s="20">
        <f t="shared" si="1"/>
        <v>4</v>
      </c>
      <c r="T50" s="32"/>
    </row>
    <row r="51" spans="1:20">
      <c r="A51" s="20">
        <v>3093</v>
      </c>
      <c r="C51" s="18">
        <v>0</v>
      </c>
      <c r="D51" s="18">
        <v>1</v>
      </c>
      <c r="E51" s="18">
        <v>0</v>
      </c>
      <c r="F51" s="18">
        <v>1</v>
      </c>
      <c r="G51" s="18">
        <v>0</v>
      </c>
      <c r="H51" s="20">
        <v>0</v>
      </c>
      <c r="I51" s="20">
        <v>1</v>
      </c>
      <c r="J51" s="20">
        <v>0</v>
      </c>
      <c r="K51" s="20">
        <v>1</v>
      </c>
      <c r="L51" s="20">
        <v>0</v>
      </c>
      <c r="M51" s="58">
        <v>0</v>
      </c>
      <c r="N51" s="20">
        <f t="shared" si="1"/>
        <v>4</v>
      </c>
      <c r="T51" s="32"/>
    </row>
    <row r="52" spans="1:20">
      <c r="A52" s="20">
        <v>3324</v>
      </c>
      <c r="C52" s="18">
        <v>0</v>
      </c>
      <c r="D52" s="18">
        <v>0</v>
      </c>
      <c r="E52" s="18">
        <v>0</v>
      </c>
      <c r="F52" s="18">
        <v>1</v>
      </c>
      <c r="G52" s="18">
        <v>0</v>
      </c>
      <c r="H52" s="20">
        <v>1</v>
      </c>
      <c r="I52" s="20">
        <v>1</v>
      </c>
      <c r="J52" s="20">
        <v>0</v>
      </c>
      <c r="K52" s="20">
        <v>0</v>
      </c>
      <c r="L52" s="20">
        <v>0</v>
      </c>
      <c r="M52" s="58">
        <v>1</v>
      </c>
      <c r="N52" s="20">
        <f t="shared" si="1"/>
        <v>4</v>
      </c>
      <c r="T52" s="32"/>
    </row>
    <row r="53" spans="1:20">
      <c r="A53" s="20">
        <v>3511</v>
      </c>
      <c r="C53" s="18">
        <v>0</v>
      </c>
      <c r="D53" s="18">
        <v>1</v>
      </c>
      <c r="E53" s="18">
        <v>2</v>
      </c>
      <c r="F53" s="18">
        <v>1</v>
      </c>
      <c r="G53" s="18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58">
        <v>0</v>
      </c>
      <c r="N53" s="20">
        <f t="shared" si="1"/>
        <v>4</v>
      </c>
      <c r="T53" s="32"/>
    </row>
    <row r="54" spans="1:20">
      <c r="A54" s="20">
        <v>3563</v>
      </c>
      <c r="C54" s="18">
        <v>1</v>
      </c>
      <c r="D54" s="18">
        <v>1</v>
      </c>
      <c r="E54" s="18">
        <v>0</v>
      </c>
      <c r="F54" s="18">
        <v>0</v>
      </c>
      <c r="G54" s="18">
        <v>0</v>
      </c>
      <c r="H54" s="20">
        <v>1</v>
      </c>
      <c r="I54" s="20">
        <v>0</v>
      </c>
      <c r="J54" s="20">
        <v>0</v>
      </c>
      <c r="K54" s="20">
        <v>1</v>
      </c>
      <c r="L54" s="20">
        <v>0</v>
      </c>
      <c r="M54" s="58">
        <v>0</v>
      </c>
      <c r="N54" s="20">
        <f t="shared" si="1"/>
        <v>4</v>
      </c>
      <c r="T54" s="32"/>
    </row>
    <row r="55" spans="1:20">
      <c r="A55" s="20">
        <v>3577</v>
      </c>
      <c r="C55" s="18">
        <v>0</v>
      </c>
      <c r="D55" s="18">
        <v>0</v>
      </c>
      <c r="E55" s="18">
        <v>0</v>
      </c>
      <c r="F55" s="18">
        <v>1</v>
      </c>
      <c r="G55" s="18">
        <v>0</v>
      </c>
      <c r="H55" s="20">
        <v>1</v>
      </c>
      <c r="I55" s="20">
        <v>1</v>
      </c>
      <c r="J55" s="20">
        <v>0</v>
      </c>
      <c r="K55" s="20">
        <v>1</v>
      </c>
      <c r="L55" s="20">
        <v>0</v>
      </c>
      <c r="M55" s="58">
        <v>0</v>
      </c>
      <c r="N55" s="20">
        <f t="shared" si="1"/>
        <v>4</v>
      </c>
      <c r="T55" s="32"/>
    </row>
    <row r="56" spans="1:20">
      <c r="A56" s="20">
        <v>3623</v>
      </c>
      <c r="C56" s="18">
        <v>0</v>
      </c>
      <c r="D56" s="18">
        <v>1</v>
      </c>
      <c r="E56" s="18">
        <v>1</v>
      </c>
      <c r="F56" s="18">
        <v>1</v>
      </c>
      <c r="G56" s="18">
        <v>0</v>
      </c>
      <c r="H56" s="20">
        <v>1</v>
      </c>
      <c r="I56" s="20">
        <v>0</v>
      </c>
      <c r="J56" s="20">
        <v>0</v>
      </c>
      <c r="K56" s="20">
        <v>0</v>
      </c>
      <c r="L56" s="20">
        <v>0</v>
      </c>
      <c r="M56" s="58">
        <v>0</v>
      </c>
      <c r="N56" s="20">
        <f t="shared" si="1"/>
        <v>4</v>
      </c>
      <c r="T56" s="32"/>
    </row>
    <row r="57" spans="1:20">
      <c r="A57" s="20">
        <v>4152</v>
      </c>
      <c r="C57" s="18">
        <v>0</v>
      </c>
      <c r="D57" s="18">
        <v>0</v>
      </c>
      <c r="E57" s="18">
        <v>1</v>
      </c>
      <c r="F57" s="18">
        <v>0</v>
      </c>
      <c r="G57" s="18">
        <v>0</v>
      </c>
      <c r="H57" s="20">
        <v>1</v>
      </c>
      <c r="I57" s="20">
        <v>0</v>
      </c>
      <c r="J57" s="20">
        <v>0</v>
      </c>
      <c r="K57" s="20">
        <v>1</v>
      </c>
      <c r="L57" s="20">
        <v>0</v>
      </c>
      <c r="M57" s="58">
        <v>1</v>
      </c>
      <c r="N57" s="20">
        <f t="shared" si="1"/>
        <v>4</v>
      </c>
    </row>
    <row r="58" spans="1:20">
      <c r="A58" s="20">
        <v>4911</v>
      </c>
      <c r="C58" s="18">
        <v>0</v>
      </c>
      <c r="D58" s="18">
        <v>1</v>
      </c>
      <c r="E58" s="18">
        <v>0</v>
      </c>
      <c r="F58" s="18">
        <v>0</v>
      </c>
      <c r="G58" s="18">
        <v>0</v>
      </c>
      <c r="H58" s="20">
        <v>1</v>
      </c>
      <c r="I58" s="20">
        <v>0</v>
      </c>
      <c r="J58" s="20">
        <v>0</v>
      </c>
      <c r="K58" s="20">
        <v>1</v>
      </c>
      <c r="L58" s="20">
        <v>0</v>
      </c>
      <c r="M58" s="58">
        <v>1</v>
      </c>
      <c r="N58" s="20">
        <f t="shared" si="1"/>
        <v>4</v>
      </c>
    </row>
    <row r="59" spans="1:20">
      <c r="A59" s="20">
        <v>4972</v>
      </c>
      <c r="C59" s="18">
        <v>1</v>
      </c>
      <c r="D59" s="18">
        <v>1</v>
      </c>
      <c r="E59" s="18">
        <v>0</v>
      </c>
      <c r="F59" s="18">
        <v>1</v>
      </c>
      <c r="G59" s="18">
        <v>0</v>
      </c>
      <c r="H59" s="20">
        <v>1</v>
      </c>
      <c r="I59" s="20">
        <v>0</v>
      </c>
      <c r="J59" s="20">
        <v>0</v>
      </c>
      <c r="K59" s="20">
        <v>0</v>
      </c>
      <c r="L59" s="20">
        <v>0</v>
      </c>
      <c r="M59" s="58">
        <v>0</v>
      </c>
      <c r="N59" s="20">
        <f t="shared" si="1"/>
        <v>4</v>
      </c>
    </row>
    <row r="60" spans="1:20">
      <c r="A60" s="20">
        <v>5007</v>
      </c>
      <c r="C60" s="18">
        <v>0</v>
      </c>
      <c r="D60" s="18">
        <v>1</v>
      </c>
      <c r="E60" s="18">
        <v>0</v>
      </c>
      <c r="F60" s="18">
        <v>1</v>
      </c>
      <c r="G60" s="18">
        <v>0</v>
      </c>
      <c r="H60" s="20">
        <v>1</v>
      </c>
      <c r="I60" s="20">
        <v>0</v>
      </c>
      <c r="J60" s="20">
        <v>0</v>
      </c>
      <c r="K60" s="20">
        <v>0</v>
      </c>
      <c r="L60" s="20">
        <v>0</v>
      </c>
      <c r="M60" s="58">
        <v>1</v>
      </c>
      <c r="N60" s="20">
        <f t="shared" si="1"/>
        <v>4</v>
      </c>
    </row>
    <row r="61" spans="1:20">
      <c r="A61" s="20">
        <v>6143</v>
      </c>
      <c r="C61" s="18">
        <v>0</v>
      </c>
      <c r="D61" s="18">
        <v>0</v>
      </c>
      <c r="E61" s="18">
        <v>1</v>
      </c>
      <c r="F61" s="18">
        <v>1</v>
      </c>
      <c r="G61" s="18">
        <v>0</v>
      </c>
      <c r="H61" s="20">
        <v>1</v>
      </c>
      <c r="I61" s="20">
        <v>0</v>
      </c>
      <c r="J61" s="20">
        <v>0</v>
      </c>
      <c r="K61" s="20">
        <v>0</v>
      </c>
      <c r="L61" s="20">
        <v>0</v>
      </c>
      <c r="M61" s="58">
        <v>1</v>
      </c>
      <c r="N61" s="20">
        <f t="shared" si="1"/>
        <v>4</v>
      </c>
    </row>
    <row r="62" spans="1:20">
      <c r="A62" s="20">
        <v>6210</v>
      </c>
      <c r="C62" s="18">
        <v>0</v>
      </c>
      <c r="D62" s="18">
        <v>1</v>
      </c>
      <c r="E62" s="18">
        <v>0</v>
      </c>
      <c r="F62" s="18">
        <v>1</v>
      </c>
      <c r="G62" s="18">
        <v>0</v>
      </c>
      <c r="H62" s="20">
        <v>1</v>
      </c>
      <c r="I62" s="20">
        <v>0</v>
      </c>
      <c r="J62" s="20">
        <v>0</v>
      </c>
      <c r="K62" s="20">
        <v>1</v>
      </c>
      <c r="L62" s="20">
        <v>0</v>
      </c>
      <c r="M62" s="58">
        <v>0</v>
      </c>
      <c r="N62" s="20">
        <f t="shared" si="1"/>
        <v>4</v>
      </c>
    </row>
    <row r="63" spans="1:20">
      <c r="A63" s="20">
        <v>6231</v>
      </c>
      <c r="C63" s="18">
        <v>1</v>
      </c>
      <c r="D63" s="18">
        <v>1</v>
      </c>
      <c r="E63" s="18">
        <v>1</v>
      </c>
      <c r="F63" s="18">
        <v>0</v>
      </c>
      <c r="G63" s="18">
        <v>0</v>
      </c>
      <c r="H63" s="20">
        <v>1</v>
      </c>
      <c r="I63" s="20">
        <v>0</v>
      </c>
      <c r="J63" s="20">
        <v>0</v>
      </c>
      <c r="K63" s="20">
        <v>0</v>
      </c>
      <c r="L63" s="20">
        <v>0</v>
      </c>
      <c r="M63" s="58">
        <v>0</v>
      </c>
      <c r="N63" s="20">
        <f t="shared" si="1"/>
        <v>4</v>
      </c>
    </row>
    <row r="64" spans="1:20">
      <c r="A64" s="20">
        <v>8074</v>
      </c>
      <c r="C64" s="18">
        <v>0</v>
      </c>
      <c r="D64" s="18">
        <v>1</v>
      </c>
      <c r="E64" s="18">
        <v>1</v>
      </c>
      <c r="F64" s="18">
        <v>1</v>
      </c>
      <c r="G64" s="18">
        <v>0</v>
      </c>
      <c r="H64" s="20">
        <v>1</v>
      </c>
      <c r="I64" s="20">
        <v>0</v>
      </c>
      <c r="J64" s="20">
        <v>0</v>
      </c>
      <c r="K64" s="20">
        <v>0</v>
      </c>
      <c r="L64" s="20">
        <v>0</v>
      </c>
      <c r="M64" s="58">
        <v>0</v>
      </c>
      <c r="N64" s="20">
        <f t="shared" si="1"/>
        <v>4</v>
      </c>
    </row>
    <row r="65" spans="1:14">
      <c r="A65" s="20">
        <v>8083</v>
      </c>
      <c r="C65" s="18">
        <v>1</v>
      </c>
      <c r="D65" s="18">
        <v>1</v>
      </c>
      <c r="E65" s="18">
        <v>0</v>
      </c>
      <c r="F65" s="18">
        <v>1</v>
      </c>
      <c r="G65" s="18">
        <v>0</v>
      </c>
      <c r="H65" s="20">
        <v>1</v>
      </c>
      <c r="I65" s="20">
        <v>0</v>
      </c>
      <c r="J65" s="20">
        <v>0</v>
      </c>
      <c r="K65" s="20">
        <v>0</v>
      </c>
      <c r="L65" s="20">
        <v>0</v>
      </c>
      <c r="M65" s="58">
        <v>0</v>
      </c>
      <c r="N65" s="20">
        <f t="shared" si="1"/>
        <v>4</v>
      </c>
    </row>
    <row r="66" spans="1:14">
      <c r="A66" s="20">
        <v>8437</v>
      </c>
      <c r="C66" s="18">
        <v>0</v>
      </c>
      <c r="D66" s="18">
        <v>0</v>
      </c>
      <c r="E66" s="18">
        <v>0</v>
      </c>
      <c r="F66" s="18">
        <v>1</v>
      </c>
      <c r="G66" s="18">
        <v>0</v>
      </c>
      <c r="H66" s="20">
        <v>1</v>
      </c>
      <c r="I66" s="20">
        <v>0</v>
      </c>
      <c r="J66" s="20">
        <v>0</v>
      </c>
      <c r="K66" s="20">
        <v>1</v>
      </c>
      <c r="L66" s="20">
        <v>0</v>
      </c>
      <c r="M66" s="58">
        <v>1</v>
      </c>
      <c r="N66" s="20">
        <f t="shared" si="1"/>
        <v>4</v>
      </c>
    </row>
    <row r="67" spans="1:14">
      <c r="A67" s="20">
        <v>1452</v>
      </c>
      <c r="C67" s="18">
        <v>0</v>
      </c>
      <c r="D67" s="18">
        <v>1</v>
      </c>
      <c r="E67" s="18">
        <v>0</v>
      </c>
      <c r="F67" s="18">
        <v>1</v>
      </c>
      <c r="G67" s="18">
        <v>0</v>
      </c>
      <c r="H67" s="20">
        <v>0</v>
      </c>
      <c r="I67" s="20">
        <v>0</v>
      </c>
      <c r="J67" s="20">
        <v>0</v>
      </c>
      <c r="K67" s="20">
        <v>1</v>
      </c>
      <c r="L67" s="20">
        <v>0</v>
      </c>
      <c r="M67" s="58">
        <v>0</v>
      </c>
      <c r="N67" s="20">
        <f t="shared" si="1"/>
        <v>3</v>
      </c>
    </row>
    <row r="68" spans="1:14">
      <c r="A68" s="20">
        <v>2344</v>
      </c>
      <c r="C68" s="18">
        <v>0</v>
      </c>
      <c r="D68" s="18">
        <v>0</v>
      </c>
      <c r="E68" s="18">
        <v>0</v>
      </c>
      <c r="F68" s="18">
        <v>1</v>
      </c>
      <c r="G68" s="18">
        <v>0</v>
      </c>
      <c r="H68" s="20">
        <v>1</v>
      </c>
      <c r="I68" s="20">
        <v>0</v>
      </c>
      <c r="J68" s="20">
        <v>0</v>
      </c>
      <c r="K68" s="20">
        <v>1</v>
      </c>
      <c r="L68" s="20">
        <v>0</v>
      </c>
      <c r="M68" s="58">
        <v>0</v>
      </c>
      <c r="N68" s="20">
        <f t="shared" ref="N68:N99" si="2">SUM(C68:M68)</f>
        <v>3</v>
      </c>
    </row>
    <row r="69" spans="1:14">
      <c r="A69" s="20">
        <v>2442</v>
      </c>
      <c r="C69" s="18">
        <v>0</v>
      </c>
      <c r="D69" s="18">
        <v>1</v>
      </c>
      <c r="E69" s="18">
        <v>0</v>
      </c>
      <c r="F69" s="18">
        <v>1</v>
      </c>
      <c r="G69" s="18">
        <v>0</v>
      </c>
      <c r="H69" s="20">
        <v>0</v>
      </c>
      <c r="I69" s="20">
        <v>0</v>
      </c>
      <c r="J69" s="20">
        <v>0</v>
      </c>
      <c r="K69" s="20">
        <v>1</v>
      </c>
      <c r="L69" s="20">
        <v>0</v>
      </c>
      <c r="M69" s="58">
        <v>0</v>
      </c>
      <c r="N69" s="20">
        <f t="shared" si="2"/>
        <v>3</v>
      </c>
    </row>
    <row r="70" spans="1:14">
      <c r="A70" s="20">
        <v>3081</v>
      </c>
      <c r="C70" s="18">
        <v>1</v>
      </c>
      <c r="D70" s="18">
        <v>0</v>
      </c>
      <c r="E70" s="18">
        <v>0</v>
      </c>
      <c r="F70" s="18">
        <v>0</v>
      </c>
      <c r="G70" s="18">
        <v>0</v>
      </c>
      <c r="H70" s="20">
        <v>0</v>
      </c>
      <c r="I70" s="20">
        <v>1</v>
      </c>
      <c r="J70" s="20">
        <v>0</v>
      </c>
      <c r="K70" s="20">
        <v>1</v>
      </c>
      <c r="L70" s="20">
        <v>0</v>
      </c>
      <c r="M70" s="58">
        <v>0</v>
      </c>
      <c r="N70" s="20">
        <f t="shared" si="2"/>
        <v>3</v>
      </c>
    </row>
    <row r="71" spans="1:14">
      <c r="A71" s="20">
        <v>3189</v>
      </c>
      <c r="C71" s="18">
        <v>0</v>
      </c>
      <c r="D71" s="18">
        <v>1</v>
      </c>
      <c r="E71" s="18">
        <v>0</v>
      </c>
      <c r="F71" s="18">
        <v>1</v>
      </c>
      <c r="G71" s="18">
        <v>0</v>
      </c>
      <c r="H71" s="20">
        <v>1</v>
      </c>
      <c r="I71" s="20">
        <v>0</v>
      </c>
      <c r="J71" s="20">
        <v>0</v>
      </c>
      <c r="K71" s="20">
        <v>0</v>
      </c>
      <c r="L71" s="20">
        <v>0</v>
      </c>
      <c r="M71" s="58">
        <v>0</v>
      </c>
      <c r="N71" s="20">
        <f t="shared" si="2"/>
        <v>3</v>
      </c>
    </row>
    <row r="72" spans="1:14">
      <c r="A72" s="20">
        <v>3211</v>
      </c>
      <c r="C72" s="18">
        <v>0</v>
      </c>
      <c r="D72" s="18">
        <v>1</v>
      </c>
      <c r="E72" s="18">
        <v>0</v>
      </c>
      <c r="F72" s="18">
        <v>1</v>
      </c>
      <c r="G72" s="18">
        <v>0</v>
      </c>
      <c r="H72" s="20">
        <v>1</v>
      </c>
      <c r="I72" s="20">
        <v>0</v>
      </c>
      <c r="J72" s="20">
        <v>0</v>
      </c>
      <c r="K72" s="20">
        <v>0</v>
      </c>
      <c r="L72" s="20">
        <v>0</v>
      </c>
      <c r="M72" s="58">
        <v>0</v>
      </c>
      <c r="N72" s="20">
        <f t="shared" si="2"/>
        <v>3</v>
      </c>
    </row>
    <row r="73" spans="1:14">
      <c r="A73" s="20">
        <v>3658</v>
      </c>
      <c r="C73" s="18">
        <v>0</v>
      </c>
      <c r="D73" s="18">
        <v>0</v>
      </c>
      <c r="E73" s="18">
        <v>0</v>
      </c>
      <c r="F73" s="18">
        <v>1</v>
      </c>
      <c r="G73" s="18">
        <v>0</v>
      </c>
      <c r="H73" s="20">
        <v>1</v>
      </c>
      <c r="I73" s="20">
        <v>0</v>
      </c>
      <c r="J73" s="20">
        <v>0</v>
      </c>
      <c r="K73" s="20">
        <v>1</v>
      </c>
      <c r="L73" s="20">
        <v>0</v>
      </c>
      <c r="M73" s="58">
        <v>0</v>
      </c>
      <c r="N73" s="20">
        <f t="shared" si="2"/>
        <v>3</v>
      </c>
    </row>
    <row r="74" spans="1:14">
      <c r="A74" s="20">
        <v>3685</v>
      </c>
      <c r="B74"/>
      <c r="C74" s="18">
        <v>0</v>
      </c>
      <c r="D74" s="18">
        <v>1</v>
      </c>
      <c r="E74" s="18">
        <v>1</v>
      </c>
      <c r="F74" s="18">
        <v>0</v>
      </c>
      <c r="G74" s="18">
        <v>1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58">
        <v>0</v>
      </c>
      <c r="N74" s="20">
        <f t="shared" si="2"/>
        <v>3</v>
      </c>
    </row>
    <row r="75" spans="1:14">
      <c r="A75" s="20">
        <v>4743</v>
      </c>
      <c r="C75" s="18">
        <v>0</v>
      </c>
      <c r="D75" s="18">
        <v>1</v>
      </c>
      <c r="E75" s="18">
        <v>0</v>
      </c>
      <c r="F75" s="18">
        <v>0</v>
      </c>
      <c r="G75" s="18">
        <v>0</v>
      </c>
      <c r="H75" s="20">
        <v>1</v>
      </c>
      <c r="I75" s="20">
        <v>0</v>
      </c>
      <c r="J75" s="20">
        <v>0</v>
      </c>
      <c r="K75" s="20">
        <v>0</v>
      </c>
      <c r="L75" s="20">
        <v>0</v>
      </c>
      <c r="M75" s="58">
        <v>1</v>
      </c>
      <c r="N75" s="20">
        <f t="shared" si="2"/>
        <v>3</v>
      </c>
    </row>
    <row r="76" spans="1:14">
      <c r="A76" s="20">
        <v>5272</v>
      </c>
      <c r="B76"/>
      <c r="C76" s="18">
        <v>0</v>
      </c>
      <c r="D76" s="18">
        <v>0</v>
      </c>
      <c r="E76" s="18">
        <v>0</v>
      </c>
      <c r="F76" s="18">
        <v>1</v>
      </c>
      <c r="G76" s="18">
        <v>0</v>
      </c>
      <c r="H76" s="20">
        <v>1</v>
      </c>
      <c r="I76" s="20">
        <v>0</v>
      </c>
      <c r="J76" s="20">
        <v>0</v>
      </c>
      <c r="K76" s="20">
        <v>0</v>
      </c>
      <c r="L76" s="20">
        <v>0</v>
      </c>
      <c r="M76" s="58">
        <v>1</v>
      </c>
      <c r="N76" s="20">
        <f t="shared" si="2"/>
        <v>3</v>
      </c>
    </row>
    <row r="77" spans="1:14">
      <c r="A77" s="20">
        <v>5347</v>
      </c>
      <c r="C77" s="18">
        <v>0</v>
      </c>
      <c r="D77" s="18">
        <v>0</v>
      </c>
      <c r="E77" s="18">
        <v>0</v>
      </c>
      <c r="F77" s="18">
        <v>1</v>
      </c>
      <c r="G77" s="18">
        <v>0</v>
      </c>
      <c r="H77" s="20">
        <v>1</v>
      </c>
      <c r="I77" s="20">
        <v>0</v>
      </c>
      <c r="J77" s="20">
        <v>0</v>
      </c>
      <c r="K77" s="20">
        <v>1</v>
      </c>
      <c r="L77" s="20">
        <v>0</v>
      </c>
      <c r="M77" s="58">
        <v>0</v>
      </c>
      <c r="N77" s="20">
        <f t="shared" si="2"/>
        <v>3</v>
      </c>
    </row>
    <row r="78" spans="1:14">
      <c r="A78" s="20">
        <v>5371</v>
      </c>
      <c r="C78" s="18">
        <v>0</v>
      </c>
      <c r="D78" s="18">
        <v>1</v>
      </c>
      <c r="E78" s="18">
        <v>0</v>
      </c>
      <c r="F78" s="18">
        <v>0</v>
      </c>
      <c r="G78" s="18">
        <v>0</v>
      </c>
      <c r="H78" s="20">
        <v>1</v>
      </c>
      <c r="I78" s="20">
        <v>0</v>
      </c>
      <c r="J78" s="20">
        <v>0</v>
      </c>
      <c r="K78" s="20">
        <v>0</v>
      </c>
      <c r="L78" s="20">
        <v>0</v>
      </c>
      <c r="M78" s="58">
        <v>1</v>
      </c>
      <c r="N78" s="20">
        <f t="shared" si="2"/>
        <v>3</v>
      </c>
    </row>
    <row r="79" spans="1:14">
      <c r="A79" s="20">
        <v>6127</v>
      </c>
      <c r="C79" s="18">
        <v>0</v>
      </c>
      <c r="D79" s="18">
        <v>1</v>
      </c>
      <c r="E79" s="18">
        <v>0</v>
      </c>
      <c r="F79" s="18">
        <v>0</v>
      </c>
      <c r="G79" s="18">
        <v>0</v>
      </c>
      <c r="H79" s="20">
        <v>1</v>
      </c>
      <c r="I79" s="20">
        <v>0</v>
      </c>
      <c r="J79" s="20">
        <v>0</v>
      </c>
      <c r="K79" s="20">
        <v>1</v>
      </c>
      <c r="L79" s="20">
        <v>0</v>
      </c>
      <c r="M79" s="58">
        <v>0</v>
      </c>
      <c r="N79" s="20">
        <f t="shared" si="2"/>
        <v>3</v>
      </c>
    </row>
    <row r="80" spans="1:14">
      <c r="A80" s="20">
        <v>6251</v>
      </c>
      <c r="C80" s="18">
        <v>0</v>
      </c>
      <c r="D80" s="18">
        <v>1</v>
      </c>
      <c r="E80" s="18">
        <v>0</v>
      </c>
      <c r="F80" s="18">
        <v>1</v>
      </c>
      <c r="G80" s="18">
        <v>0</v>
      </c>
      <c r="H80" s="20">
        <v>0</v>
      </c>
      <c r="I80" s="20">
        <v>0</v>
      </c>
      <c r="J80" s="20">
        <v>0</v>
      </c>
      <c r="K80" s="20">
        <v>1</v>
      </c>
      <c r="L80" s="20">
        <v>0</v>
      </c>
      <c r="M80" s="58">
        <v>0</v>
      </c>
      <c r="N80" s="20">
        <f t="shared" si="2"/>
        <v>3</v>
      </c>
    </row>
    <row r="81" spans="1:14">
      <c r="A81" s="20">
        <v>6278</v>
      </c>
      <c r="C81" s="18">
        <v>0</v>
      </c>
      <c r="D81" s="18">
        <v>1</v>
      </c>
      <c r="E81" s="18">
        <v>0</v>
      </c>
      <c r="F81" s="18">
        <v>0</v>
      </c>
      <c r="G81" s="18">
        <v>0</v>
      </c>
      <c r="H81" s="20">
        <v>1</v>
      </c>
      <c r="I81" s="20">
        <v>0</v>
      </c>
      <c r="J81" s="20">
        <v>0</v>
      </c>
      <c r="K81" s="20">
        <v>1</v>
      </c>
      <c r="L81" s="20">
        <v>0</v>
      </c>
      <c r="M81" s="58">
        <v>0</v>
      </c>
      <c r="N81" s="20">
        <f t="shared" si="2"/>
        <v>3</v>
      </c>
    </row>
    <row r="82" spans="1:14">
      <c r="A82" s="20">
        <v>8454</v>
      </c>
      <c r="C82" s="18">
        <v>0</v>
      </c>
      <c r="D82" s="18">
        <v>0</v>
      </c>
      <c r="E82" s="18">
        <v>1</v>
      </c>
      <c r="F82" s="18">
        <v>1</v>
      </c>
      <c r="G82" s="18">
        <v>0</v>
      </c>
      <c r="H82" s="20">
        <v>0</v>
      </c>
      <c r="I82" s="20">
        <v>0</v>
      </c>
      <c r="J82" s="20">
        <v>1</v>
      </c>
      <c r="K82" s="20">
        <v>0</v>
      </c>
      <c r="L82" s="20">
        <v>0</v>
      </c>
      <c r="M82" s="58">
        <v>0</v>
      </c>
      <c r="N82" s="20">
        <f t="shared" si="2"/>
        <v>3</v>
      </c>
    </row>
    <row r="83" spans="1:14">
      <c r="A83" s="20">
        <v>2013</v>
      </c>
      <c r="C83" s="18">
        <v>0</v>
      </c>
      <c r="D83" s="18">
        <v>1</v>
      </c>
      <c r="E83" s="18">
        <v>0</v>
      </c>
      <c r="F83" s="18">
        <v>0</v>
      </c>
      <c r="G83" s="18">
        <v>0</v>
      </c>
      <c r="H83" s="20">
        <v>1</v>
      </c>
      <c r="I83" s="20">
        <v>0</v>
      </c>
      <c r="J83" s="20">
        <v>0</v>
      </c>
      <c r="K83" s="20">
        <v>0</v>
      </c>
      <c r="L83" s="20">
        <v>0</v>
      </c>
      <c r="M83" s="58">
        <v>0</v>
      </c>
      <c r="N83" s="20">
        <f t="shared" si="2"/>
        <v>2</v>
      </c>
    </row>
    <row r="84" spans="1:14">
      <c r="A84" s="20">
        <v>2395</v>
      </c>
      <c r="C84" s="18">
        <v>0</v>
      </c>
      <c r="D84" s="18">
        <v>0</v>
      </c>
      <c r="E84" s="18">
        <v>0</v>
      </c>
      <c r="F84" s="18">
        <v>1</v>
      </c>
      <c r="G84" s="18">
        <v>0</v>
      </c>
      <c r="H84" s="20">
        <v>0</v>
      </c>
      <c r="I84" s="20">
        <v>0</v>
      </c>
      <c r="J84" s="20">
        <v>0</v>
      </c>
      <c r="K84" s="20">
        <v>1</v>
      </c>
      <c r="L84" s="20">
        <v>0</v>
      </c>
      <c r="M84" s="58">
        <v>0</v>
      </c>
      <c r="N84" s="20">
        <f t="shared" si="2"/>
        <v>2</v>
      </c>
    </row>
    <row r="85" spans="1:14">
      <c r="A85" s="20">
        <v>3030</v>
      </c>
      <c r="C85" s="18">
        <v>0</v>
      </c>
      <c r="D85" s="18">
        <v>1</v>
      </c>
      <c r="E85" s="18">
        <v>0</v>
      </c>
      <c r="F85" s="18">
        <v>0</v>
      </c>
      <c r="G85" s="18">
        <v>0</v>
      </c>
      <c r="H85" s="20">
        <v>1</v>
      </c>
      <c r="I85" s="20">
        <v>0</v>
      </c>
      <c r="J85" s="20">
        <v>0</v>
      </c>
      <c r="K85" s="20">
        <v>0</v>
      </c>
      <c r="L85" s="20">
        <v>0</v>
      </c>
      <c r="M85" s="58">
        <v>0</v>
      </c>
      <c r="N85" s="20">
        <f t="shared" si="2"/>
        <v>2</v>
      </c>
    </row>
    <row r="86" spans="1:14">
      <c r="A86" s="20">
        <v>3259</v>
      </c>
      <c r="C86" s="18">
        <v>0</v>
      </c>
      <c r="D86" s="18">
        <v>0</v>
      </c>
      <c r="E86" s="18">
        <v>0</v>
      </c>
      <c r="F86" s="18">
        <v>1</v>
      </c>
      <c r="G86" s="18">
        <v>0</v>
      </c>
      <c r="H86" s="20">
        <v>1</v>
      </c>
      <c r="I86" s="20">
        <v>0</v>
      </c>
      <c r="J86" s="20">
        <v>0</v>
      </c>
      <c r="K86" s="20">
        <v>0</v>
      </c>
      <c r="L86" s="20">
        <v>0</v>
      </c>
      <c r="M86" s="58">
        <v>0</v>
      </c>
      <c r="N86" s="20">
        <f t="shared" si="2"/>
        <v>2</v>
      </c>
    </row>
    <row r="87" spans="1:14">
      <c r="A87" s="20">
        <v>3556</v>
      </c>
      <c r="B87"/>
      <c r="C87" s="18">
        <v>0</v>
      </c>
      <c r="D87" s="18">
        <v>0</v>
      </c>
      <c r="E87" s="18">
        <v>0</v>
      </c>
      <c r="F87" s="18">
        <v>1</v>
      </c>
      <c r="G87" s="18">
        <v>0</v>
      </c>
      <c r="H87" s="20">
        <v>1</v>
      </c>
      <c r="I87" s="20">
        <v>0</v>
      </c>
      <c r="J87" s="20">
        <v>0</v>
      </c>
      <c r="K87" s="20">
        <v>0</v>
      </c>
      <c r="L87" s="20">
        <v>0</v>
      </c>
      <c r="M87" s="58">
        <v>0</v>
      </c>
      <c r="N87" s="20">
        <f t="shared" si="2"/>
        <v>2</v>
      </c>
    </row>
    <row r="88" spans="1:14">
      <c r="A88" s="20">
        <v>4712</v>
      </c>
      <c r="C88" s="18">
        <v>0</v>
      </c>
      <c r="D88" s="18">
        <v>1</v>
      </c>
      <c r="E88" s="18">
        <v>0</v>
      </c>
      <c r="F88" s="18">
        <v>1</v>
      </c>
      <c r="G88" s="18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58">
        <v>0</v>
      </c>
      <c r="N88" s="20">
        <f t="shared" si="2"/>
        <v>2</v>
      </c>
    </row>
    <row r="89" spans="1:14">
      <c r="A89" s="20">
        <v>6129</v>
      </c>
      <c r="C89" s="18">
        <v>0</v>
      </c>
      <c r="D89" s="18">
        <v>1</v>
      </c>
      <c r="E89" s="18">
        <v>0</v>
      </c>
      <c r="F89" s="18">
        <v>0</v>
      </c>
      <c r="G89" s="18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58">
        <v>1</v>
      </c>
      <c r="N89" s="20">
        <f t="shared" si="2"/>
        <v>2</v>
      </c>
    </row>
    <row r="90" spans="1:14">
      <c r="A90" s="20">
        <v>6417</v>
      </c>
      <c r="C90" s="18">
        <v>1</v>
      </c>
      <c r="D90" s="18">
        <v>0</v>
      </c>
      <c r="E90" s="18">
        <v>0</v>
      </c>
      <c r="F90" s="18">
        <v>0</v>
      </c>
      <c r="G90" s="18">
        <v>0</v>
      </c>
      <c r="H90" s="20">
        <v>0</v>
      </c>
      <c r="I90" s="20">
        <v>0</v>
      </c>
      <c r="J90" s="20">
        <v>0</v>
      </c>
      <c r="K90" s="20">
        <v>1</v>
      </c>
      <c r="L90" s="20">
        <v>0</v>
      </c>
      <c r="M90" s="58">
        <v>0</v>
      </c>
      <c r="N90" s="20">
        <f t="shared" si="2"/>
        <v>2</v>
      </c>
    </row>
    <row r="91" spans="1:14">
      <c r="A91" s="20">
        <v>8059</v>
      </c>
      <c r="C91" s="18">
        <v>0</v>
      </c>
      <c r="D91" s="18">
        <v>0</v>
      </c>
      <c r="E91" s="18">
        <v>0</v>
      </c>
      <c r="F91" s="18">
        <v>1</v>
      </c>
      <c r="G91" s="18">
        <v>0</v>
      </c>
      <c r="H91" s="20">
        <v>0</v>
      </c>
      <c r="I91" s="20">
        <v>0</v>
      </c>
      <c r="J91" s="20">
        <v>0</v>
      </c>
      <c r="K91" s="20">
        <v>1</v>
      </c>
      <c r="L91" s="20">
        <v>0</v>
      </c>
      <c r="M91" s="58">
        <v>0</v>
      </c>
      <c r="N91" s="20">
        <f t="shared" si="2"/>
        <v>2</v>
      </c>
    </row>
    <row r="92" spans="1:14">
      <c r="A92" s="20">
        <v>9940</v>
      </c>
      <c r="C92" s="18">
        <v>0</v>
      </c>
      <c r="D92" s="18">
        <v>0</v>
      </c>
      <c r="E92" s="18">
        <v>0</v>
      </c>
      <c r="F92" s="18">
        <v>1</v>
      </c>
      <c r="G92" s="18">
        <v>0</v>
      </c>
      <c r="H92" s="20">
        <v>0</v>
      </c>
      <c r="I92" s="20">
        <v>0</v>
      </c>
      <c r="J92" s="20">
        <v>0</v>
      </c>
      <c r="K92" s="20">
        <v>1</v>
      </c>
      <c r="L92" s="20">
        <v>0</v>
      </c>
      <c r="M92" s="58">
        <v>0</v>
      </c>
      <c r="N92" s="20">
        <f t="shared" si="2"/>
        <v>2</v>
      </c>
    </row>
    <row r="93" spans="1:14">
      <c r="A93" s="20">
        <v>1605</v>
      </c>
      <c r="C93" s="18">
        <v>0</v>
      </c>
      <c r="D93" s="18">
        <v>0</v>
      </c>
      <c r="E93" s="18">
        <v>0</v>
      </c>
      <c r="F93" s="18">
        <v>0</v>
      </c>
      <c r="G93" s="18">
        <v>0</v>
      </c>
      <c r="H93" s="20">
        <v>0</v>
      </c>
      <c r="I93" s="20">
        <v>0</v>
      </c>
      <c r="J93" s="20">
        <v>0</v>
      </c>
      <c r="K93" s="20">
        <v>1</v>
      </c>
      <c r="L93" s="20">
        <v>0</v>
      </c>
      <c r="M93" s="58">
        <v>0</v>
      </c>
      <c r="N93" s="20">
        <f t="shared" si="2"/>
        <v>1</v>
      </c>
    </row>
    <row r="94" spans="1:14">
      <c r="A94" s="20">
        <v>2455</v>
      </c>
      <c r="C94" s="18">
        <v>0</v>
      </c>
      <c r="D94" s="18">
        <v>0</v>
      </c>
      <c r="E94" s="18">
        <v>0</v>
      </c>
      <c r="F94" s="18">
        <v>1</v>
      </c>
      <c r="G94" s="18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58">
        <v>0</v>
      </c>
      <c r="N94" s="20">
        <f t="shared" si="2"/>
        <v>1</v>
      </c>
    </row>
    <row r="95" spans="1:14">
      <c r="A95" s="20">
        <v>3219</v>
      </c>
      <c r="C95" s="18">
        <v>0</v>
      </c>
      <c r="D95" s="18">
        <v>1</v>
      </c>
      <c r="E95" s="18">
        <v>0</v>
      </c>
      <c r="F95" s="18">
        <v>0</v>
      </c>
      <c r="G95" s="18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58">
        <v>0</v>
      </c>
      <c r="N95" s="20">
        <f t="shared" si="2"/>
        <v>1</v>
      </c>
    </row>
    <row r="96" spans="1:14">
      <c r="A96" s="20">
        <v>3374</v>
      </c>
      <c r="B96"/>
      <c r="C96" s="18">
        <v>0</v>
      </c>
      <c r="D96" s="18">
        <v>0</v>
      </c>
      <c r="E96" s="18">
        <v>0</v>
      </c>
      <c r="F96" s="18">
        <v>0</v>
      </c>
      <c r="G96" s="18">
        <v>0</v>
      </c>
      <c r="H96" s="20">
        <v>1</v>
      </c>
      <c r="I96" s="20">
        <v>0</v>
      </c>
      <c r="J96" s="20">
        <v>0</v>
      </c>
      <c r="K96" s="20">
        <v>0</v>
      </c>
      <c r="L96" s="20">
        <v>0</v>
      </c>
      <c r="M96" s="58">
        <v>0</v>
      </c>
      <c r="N96" s="20">
        <f t="shared" si="2"/>
        <v>1</v>
      </c>
    </row>
    <row r="97" spans="1:19">
      <c r="A97" s="20">
        <v>4190</v>
      </c>
      <c r="C97" s="18">
        <v>0</v>
      </c>
      <c r="D97" s="18">
        <v>0</v>
      </c>
      <c r="E97" s="18">
        <v>0</v>
      </c>
      <c r="F97" s="18">
        <v>1</v>
      </c>
      <c r="G97" s="18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58">
        <v>0</v>
      </c>
      <c r="N97" s="20">
        <f t="shared" si="2"/>
        <v>1</v>
      </c>
    </row>
    <row r="98" spans="1:19">
      <c r="A98" s="20">
        <v>5508</v>
      </c>
      <c r="C98" s="18">
        <v>0</v>
      </c>
      <c r="D98" s="18">
        <v>0</v>
      </c>
      <c r="E98" s="18">
        <v>1</v>
      </c>
      <c r="F98" s="18">
        <v>0</v>
      </c>
      <c r="G98" s="18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58">
        <v>0</v>
      </c>
      <c r="N98" s="20">
        <f t="shared" si="2"/>
        <v>1</v>
      </c>
    </row>
    <row r="99" spans="1:19">
      <c r="A99" s="20">
        <v>5514</v>
      </c>
      <c r="C99" s="18">
        <v>0</v>
      </c>
      <c r="D99" s="18">
        <v>0</v>
      </c>
      <c r="E99" s="18">
        <v>1</v>
      </c>
      <c r="F99" s="18">
        <v>0</v>
      </c>
      <c r="G99" s="18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58">
        <v>0</v>
      </c>
      <c r="N99" s="20">
        <f t="shared" si="2"/>
        <v>1</v>
      </c>
    </row>
    <row r="100" spans="1:19">
      <c r="A100" s="20">
        <v>8935</v>
      </c>
      <c r="C100" s="18">
        <v>0</v>
      </c>
      <c r="D100" s="18">
        <v>0</v>
      </c>
      <c r="E100" s="18">
        <v>0</v>
      </c>
      <c r="F100" s="18">
        <v>1</v>
      </c>
      <c r="G100" s="18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58">
        <v>0</v>
      </c>
      <c r="N100" s="20">
        <f t="shared" ref="N100:N102" si="3">SUM(C100:M100)</f>
        <v>1</v>
      </c>
    </row>
    <row r="101" spans="1:19">
      <c r="A101" s="20">
        <v>2497</v>
      </c>
      <c r="C101" s="18">
        <v>0</v>
      </c>
      <c r="D101" s="18">
        <v>0</v>
      </c>
      <c r="E101" s="18">
        <v>0</v>
      </c>
      <c r="F101" s="18">
        <v>0</v>
      </c>
      <c r="G101" s="18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58">
        <v>0</v>
      </c>
      <c r="N101" s="20">
        <f t="shared" si="3"/>
        <v>0</v>
      </c>
    </row>
    <row r="102" spans="1:19">
      <c r="A102" s="20">
        <v>8050</v>
      </c>
      <c r="C102" s="18">
        <v>0</v>
      </c>
      <c r="D102" s="18">
        <v>0</v>
      </c>
      <c r="E102" s="18">
        <v>0</v>
      </c>
      <c r="F102" s="18">
        <v>0</v>
      </c>
      <c r="G102" s="18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58">
        <v>0</v>
      </c>
      <c r="N102" s="20">
        <f t="shared" si="3"/>
        <v>0</v>
      </c>
    </row>
    <row r="103" spans="1:19" ht="16.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 s="280"/>
    </row>
    <row r="104" spans="1:19" ht="16.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 s="280"/>
    </row>
    <row r="105" spans="1:19" ht="16.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 s="280"/>
    </row>
    <row r="106" spans="1:19" ht="16.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 s="280"/>
    </row>
    <row r="107" spans="1:19" ht="16.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 s="280"/>
    </row>
    <row r="108" spans="1:19" ht="16.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 s="280"/>
    </row>
    <row r="109" spans="1:19" ht="16.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 s="280"/>
    </row>
    <row r="110" spans="1:19" ht="16.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 s="280"/>
    </row>
    <row r="111" spans="1:19" ht="16.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 s="280"/>
    </row>
    <row r="112" spans="1:19" ht="16.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 s="280"/>
    </row>
    <row r="113" spans="1:19" ht="16.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 s="280"/>
    </row>
    <row r="114" spans="1:19" ht="16.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 s="280"/>
    </row>
    <row r="115" spans="1:19" ht="16.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 s="280"/>
    </row>
    <row r="116" spans="1:19" ht="16.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 s="280"/>
    </row>
    <row r="117" spans="1:19" ht="16.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 s="280"/>
    </row>
    <row r="118" spans="1:19" ht="16.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 s="280"/>
    </row>
    <row r="119" spans="1:19" ht="16.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 s="280"/>
    </row>
    <row r="120" spans="1:19" ht="16.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 s="280"/>
    </row>
    <row r="121" spans="1:19" ht="16.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 s="280"/>
    </row>
    <row r="122" spans="1:19" ht="16.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 s="280"/>
    </row>
    <row r="123" spans="1:19" ht="16.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 s="280"/>
    </row>
    <row r="124" spans="1:19" ht="16.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 s="280"/>
    </row>
    <row r="125" spans="1:19" ht="16.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 s="280"/>
    </row>
    <row r="126" spans="1:19" ht="16.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 s="280"/>
    </row>
    <row r="127" spans="1:19" ht="16.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 s="280"/>
    </row>
    <row r="128" spans="1:19" ht="16.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 s="280"/>
    </row>
    <row r="129" spans="1:19" ht="16.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 s="280"/>
    </row>
    <row r="130" spans="1:19" ht="16.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 s="280"/>
    </row>
    <row r="131" spans="1:19" ht="16.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 s="280"/>
    </row>
    <row r="132" spans="1:19" ht="16.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 s="280"/>
    </row>
    <row r="133" spans="1:19" ht="16.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 s="280"/>
    </row>
    <row r="134" spans="1:19" ht="16.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 s="280"/>
    </row>
    <row r="135" spans="1:19" ht="16.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 s="280"/>
    </row>
    <row r="136" spans="1:19" ht="16.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 s="280"/>
    </row>
    <row r="137" spans="1:19" ht="16.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 s="280"/>
    </row>
    <row r="138" spans="1:19" ht="16.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 s="280"/>
    </row>
    <row r="139" spans="1:19" ht="16.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 s="280"/>
    </row>
    <row r="140" spans="1:19" ht="16.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 s="280"/>
    </row>
    <row r="141" spans="1:19" ht="16.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 s="280"/>
    </row>
    <row r="142" spans="1:19" ht="16.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 s="280"/>
    </row>
    <row r="143" spans="1:19" ht="16.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 s="280"/>
    </row>
    <row r="144" spans="1:19" ht="16.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 s="280"/>
    </row>
    <row r="145" spans="1:19" ht="16.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 s="280"/>
    </row>
    <row r="146" spans="1:19" ht="16.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 s="280"/>
    </row>
    <row r="147" spans="1:19" ht="16.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 s="280"/>
    </row>
    <row r="148" spans="1:19" ht="16.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 s="280"/>
    </row>
    <row r="149" spans="1:19" ht="16.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 s="280"/>
    </row>
    <row r="150" spans="1:19" ht="16.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 s="280"/>
    </row>
    <row r="151" spans="1:19" ht="16.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 s="280"/>
    </row>
    <row r="152" spans="1:19" ht="16.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 s="280"/>
    </row>
    <row r="153" spans="1:19" ht="16.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 s="280"/>
    </row>
    <row r="154" spans="1:19" ht="16.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 s="280"/>
    </row>
    <row r="155" spans="1:19" ht="16.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 s="280"/>
    </row>
    <row r="156" spans="1:19" ht="16.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 s="280"/>
    </row>
    <row r="157" spans="1:19" ht="16.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 s="280"/>
    </row>
    <row r="158" spans="1:19" ht="16.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 s="280"/>
    </row>
    <row r="159" spans="1:19" ht="16.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 s="280"/>
    </row>
    <row r="160" spans="1:19" ht="16.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 s="280"/>
    </row>
    <row r="161" spans="1:19" ht="16.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 s="280"/>
    </row>
    <row r="162" spans="1:19" ht="16.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 s="280"/>
    </row>
    <row r="163" spans="1:19" ht="16.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 s="280"/>
    </row>
    <row r="164" spans="1:19" ht="16.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 s="280"/>
    </row>
    <row r="165" spans="1:19" ht="16.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 s="280"/>
    </row>
    <row r="166" spans="1:19" ht="16.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 s="280"/>
    </row>
    <row r="167" spans="1:19" ht="16.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 s="280"/>
    </row>
    <row r="168" spans="1:19" ht="16.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 s="280"/>
    </row>
    <row r="169" spans="1:19" ht="16.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 s="280"/>
    </row>
    <row r="170" spans="1:19" ht="16.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 s="280"/>
    </row>
    <row r="171" spans="1:19" ht="16.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 s="280"/>
    </row>
    <row r="172" spans="1:19" ht="16.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 s="280"/>
    </row>
    <row r="173" spans="1:19" ht="16.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 s="280"/>
    </row>
    <row r="174" spans="1:19" ht="16.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 s="280"/>
    </row>
    <row r="175" spans="1:19" ht="16.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 s="280"/>
    </row>
    <row r="176" spans="1:19" ht="16.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 s="280"/>
    </row>
    <row r="177" spans="1:19" ht="16.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 s="280"/>
    </row>
    <row r="178" spans="1:19" ht="16.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 s="280"/>
    </row>
    <row r="179" spans="1:19" ht="16.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 s="280"/>
    </row>
    <row r="180" spans="1:19" ht="16.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 s="280"/>
    </row>
    <row r="844" spans="1:1">
      <c r="A844" s="20">
        <v>1570</v>
      </c>
    </row>
    <row r="845" spans="1:1">
      <c r="A845" s="20">
        <v>1580</v>
      </c>
    </row>
    <row r="846" spans="1:1">
      <c r="A846" s="20">
        <v>1584</v>
      </c>
    </row>
    <row r="847" spans="1:1">
      <c r="A847" s="20">
        <v>1586</v>
      </c>
    </row>
    <row r="848" spans="1:1">
      <c r="A848" s="20">
        <v>1591</v>
      </c>
    </row>
    <row r="849" spans="1:1">
      <c r="A849" s="20">
        <v>1593</v>
      </c>
    </row>
    <row r="850" spans="1:1">
      <c r="A850" s="20">
        <v>1595</v>
      </c>
    </row>
    <row r="851" spans="1:1">
      <c r="A851" s="20">
        <v>1597</v>
      </c>
    </row>
    <row r="852" spans="1:1">
      <c r="A852" s="20">
        <v>1599</v>
      </c>
    </row>
    <row r="853" spans="1:1">
      <c r="A853" s="20">
        <v>1742</v>
      </c>
    </row>
    <row r="854" spans="1:1">
      <c r="A854" s="20">
        <v>1752</v>
      </c>
    </row>
    <row r="855" spans="1:1">
      <c r="A855" s="20">
        <v>1777</v>
      </c>
    </row>
    <row r="856" spans="1:1">
      <c r="A856" s="20">
        <v>1781</v>
      </c>
    </row>
    <row r="857" spans="1:1">
      <c r="A857" s="20">
        <v>1784</v>
      </c>
    </row>
    <row r="858" spans="1:1">
      <c r="A858" s="20">
        <v>1785</v>
      </c>
    </row>
    <row r="859" spans="1:1">
      <c r="A859" s="20">
        <v>1787</v>
      </c>
    </row>
    <row r="860" spans="1:1">
      <c r="A860" s="20">
        <v>1788</v>
      </c>
    </row>
    <row r="861" spans="1:1">
      <c r="A861" s="20">
        <v>1795</v>
      </c>
    </row>
    <row r="862" spans="1:1">
      <c r="A862" s="20">
        <v>1799</v>
      </c>
    </row>
    <row r="863" spans="1:1">
      <c r="A863" s="20">
        <v>1813</v>
      </c>
    </row>
    <row r="864" spans="1:1">
      <c r="A864" s="20">
        <v>1815</v>
      </c>
    </row>
    <row r="865" spans="1:1">
      <c r="A865" s="20">
        <v>2035</v>
      </c>
    </row>
    <row r="866" spans="1:1">
      <c r="A866" s="20">
        <v>2061</v>
      </c>
    </row>
    <row r="867" spans="1:1">
      <c r="A867" s="20">
        <v>2063</v>
      </c>
    </row>
    <row r="868" spans="1:1">
      <c r="A868" s="20">
        <v>2064</v>
      </c>
    </row>
    <row r="869" spans="1:1">
      <c r="A869" s="20">
        <v>2066</v>
      </c>
    </row>
    <row r="870" spans="1:1">
      <c r="A870" s="20">
        <v>2067</v>
      </c>
    </row>
    <row r="871" spans="1:1">
      <c r="A871" s="20">
        <v>2221</v>
      </c>
    </row>
    <row r="872" spans="1:1">
      <c r="A872" s="20">
        <v>2230</v>
      </c>
    </row>
    <row r="873" spans="1:1">
      <c r="A873" s="20">
        <v>2233</v>
      </c>
    </row>
    <row r="874" spans="1:1">
      <c r="A874" s="20">
        <v>2235</v>
      </c>
    </row>
    <row r="875" spans="1:1">
      <c r="A875" s="20">
        <v>2636</v>
      </c>
    </row>
    <row r="876" spans="1:1">
      <c r="A876" s="20">
        <v>2640</v>
      </c>
    </row>
    <row r="877" spans="1:1">
      <c r="A877" s="20">
        <v>2641</v>
      </c>
    </row>
    <row r="878" spans="1:1">
      <c r="A878" s="20">
        <v>2718</v>
      </c>
    </row>
    <row r="879" spans="1:1">
      <c r="A879" s="20">
        <v>2719</v>
      </c>
    </row>
    <row r="880" spans="1:1">
      <c r="A880" s="20">
        <v>2724</v>
      </c>
    </row>
    <row r="881" spans="1:1">
      <c r="A881" s="20">
        <v>2726</v>
      </c>
    </row>
    <row r="882" spans="1:1">
      <c r="A882" s="20">
        <v>2729</v>
      </c>
    </row>
    <row r="883" spans="1:1">
      <c r="A883" s="20">
        <v>2732</v>
      </c>
    </row>
    <row r="884" spans="1:1">
      <c r="A884" s="20">
        <v>2734</v>
      </c>
    </row>
    <row r="885" spans="1:1">
      <c r="A885" s="20">
        <v>2916</v>
      </c>
    </row>
    <row r="886" spans="1:1">
      <c r="A886" s="20">
        <v>2924</v>
      </c>
    </row>
    <row r="887" spans="1:1">
      <c r="A887" s="20">
        <v>2926</v>
      </c>
    </row>
    <row r="888" spans="1:1">
      <c r="A888" s="20">
        <v>3064</v>
      </c>
    </row>
    <row r="889" spans="1:1">
      <c r="A889" s="20">
        <v>3066</v>
      </c>
    </row>
    <row r="890" spans="1:1">
      <c r="A890" s="20">
        <v>3067</v>
      </c>
    </row>
    <row r="891" spans="1:1">
      <c r="A891" s="20">
        <v>3068</v>
      </c>
    </row>
    <row r="892" spans="1:1">
      <c r="A892" s="20">
        <v>3071</v>
      </c>
    </row>
    <row r="893" spans="1:1">
      <c r="A893" s="20">
        <v>3073</v>
      </c>
    </row>
    <row r="894" spans="1:1">
      <c r="A894" s="20">
        <v>3078</v>
      </c>
    </row>
    <row r="895" spans="1:1">
      <c r="A895" s="20">
        <v>3081</v>
      </c>
    </row>
    <row r="896" spans="1:1">
      <c r="A896" s="20">
        <v>3083</v>
      </c>
    </row>
    <row r="897" spans="1:1">
      <c r="A897" s="20">
        <v>3085</v>
      </c>
    </row>
    <row r="898" spans="1:1">
      <c r="A898" s="20">
        <v>3086</v>
      </c>
    </row>
    <row r="899" spans="1:1">
      <c r="A899" s="20">
        <v>3088</v>
      </c>
    </row>
    <row r="900" spans="1:1">
      <c r="A900" s="20">
        <v>3089</v>
      </c>
    </row>
    <row r="901" spans="1:1">
      <c r="A901" s="20">
        <v>3092</v>
      </c>
    </row>
    <row r="902" spans="1:1">
      <c r="A902" s="20">
        <v>3093</v>
      </c>
    </row>
    <row r="903" spans="1:1">
      <c r="A903" s="20">
        <v>3095</v>
      </c>
    </row>
    <row r="904" spans="1:1">
      <c r="A904" s="20">
        <v>3105</v>
      </c>
    </row>
    <row r="905" spans="1:1">
      <c r="A905" s="20">
        <v>3114</v>
      </c>
    </row>
    <row r="906" spans="1:1">
      <c r="A906" s="20">
        <v>3115</v>
      </c>
    </row>
    <row r="907" spans="1:1">
      <c r="A907" s="20">
        <v>3118</v>
      </c>
    </row>
    <row r="908" spans="1:1">
      <c r="A908" s="20">
        <v>3122</v>
      </c>
    </row>
    <row r="909" spans="1:1">
      <c r="A909" s="20">
        <v>3126</v>
      </c>
    </row>
    <row r="910" spans="1:1">
      <c r="A910" s="20">
        <v>3128</v>
      </c>
    </row>
    <row r="911" spans="1:1">
      <c r="A911" s="20">
        <v>3131</v>
      </c>
    </row>
    <row r="912" spans="1:1">
      <c r="A912" s="20">
        <v>3141</v>
      </c>
    </row>
    <row r="913" spans="1:1">
      <c r="A913" s="20">
        <v>3144</v>
      </c>
    </row>
    <row r="914" spans="1:1">
      <c r="A914" s="20">
        <v>3152</v>
      </c>
    </row>
    <row r="915" spans="1:1">
      <c r="A915" s="20">
        <v>3162</v>
      </c>
    </row>
    <row r="916" spans="1:1">
      <c r="A916" s="20">
        <v>3163</v>
      </c>
    </row>
    <row r="917" spans="1:1">
      <c r="A917" s="20">
        <v>3169</v>
      </c>
    </row>
    <row r="918" spans="1:1">
      <c r="A918" s="20">
        <v>3171</v>
      </c>
    </row>
    <row r="919" spans="1:1">
      <c r="A919" s="20">
        <v>3176</v>
      </c>
    </row>
    <row r="920" spans="1:1">
      <c r="A920" s="20">
        <v>3188</v>
      </c>
    </row>
    <row r="921" spans="1:1">
      <c r="A921" s="20">
        <v>3191</v>
      </c>
    </row>
    <row r="922" spans="1:1">
      <c r="A922" s="20">
        <v>3202</v>
      </c>
    </row>
    <row r="923" spans="1:1">
      <c r="A923" s="20">
        <v>3205</v>
      </c>
    </row>
    <row r="924" spans="1:1">
      <c r="A924" s="20">
        <v>3206</v>
      </c>
    </row>
    <row r="925" spans="1:1">
      <c r="A925" s="20">
        <v>3207</v>
      </c>
    </row>
    <row r="926" spans="1:1">
      <c r="A926" s="20">
        <v>3211</v>
      </c>
    </row>
    <row r="927" spans="1:1">
      <c r="A927" s="20">
        <v>3213</v>
      </c>
    </row>
    <row r="928" spans="1:1">
      <c r="A928" s="20">
        <v>3217</v>
      </c>
    </row>
    <row r="929" spans="1:1">
      <c r="A929" s="20">
        <v>3218</v>
      </c>
    </row>
    <row r="930" spans="1:1">
      <c r="A930" s="20">
        <v>3219</v>
      </c>
    </row>
    <row r="931" spans="1:1">
      <c r="A931" s="20">
        <v>3221</v>
      </c>
    </row>
    <row r="932" spans="1:1">
      <c r="A932" s="20">
        <v>3224</v>
      </c>
    </row>
    <row r="933" spans="1:1">
      <c r="A933" s="20">
        <v>3226</v>
      </c>
    </row>
    <row r="934" spans="1:1">
      <c r="A934" s="20">
        <v>3227</v>
      </c>
    </row>
    <row r="935" spans="1:1">
      <c r="A935" s="20">
        <v>3228</v>
      </c>
    </row>
    <row r="936" spans="1:1">
      <c r="A936" s="20">
        <v>3230</v>
      </c>
    </row>
    <row r="937" spans="1:1">
      <c r="A937" s="20">
        <v>3232</v>
      </c>
    </row>
    <row r="938" spans="1:1">
      <c r="A938" s="20">
        <v>3234</v>
      </c>
    </row>
    <row r="939" spans="1:1">
      <c r="A939" s="20">
        <v>3236</v>
      </c>
    </row>
    <row r="940" spans="1:1">
      <c r="A940" s="20">
        <v>3252</v>
      </c>
    </row>
    <row r="941" spans="1:1">
      <c r="A941" s="20">
        <v>3259</v>
      </c>
    </row>
    <row r="942" spans="1:1">
      <c r="A942" s="20">
        <v>3260</v>
      </c>
    </row>
    <row r="943" spans="1:1">
      <c r="A943" s="20">
        <v>3264</v>
      </c>
    </row>
    <row r="944" spans="1:1">
      <c r="A944" s="20">
        <v>3265</v>
      </c>
    </row>
    <row r="945" spans="1:1">
      <c r="A945" s="20">
        <v>3268</v>
      </c>
    </row>
    <row r="946" spans="1:1">
      <c r="A946" s="20">
        <v>3272</v>
      </c>
    </row>
    <row r="947" spans="1:1">
      <c r="A947" s="20">
        <v>3276</v>
      </c>
    </row>
    <row r="948" spans="1:1">
      <c r="A948" s="20">
        <v>3284</v>
      </c>
    </row>
    <row r="949" spans="1:1">
      <c r="A949" s="20">
        <v>3285</v>
      </c>
    </row>
    <row r="950" spans="1:1">
      <c r="A950" s="20">
        <v>3287</v>
      </c>
    </row>
    <row r="951" spans="1:1">
      <c r="A951" s="20">
        <v>3288</v>
      </c>
    </row>
    <row r="952" spans="1:1">
      <c r="A952" s="20">
        <v>3289</v>
      </c>
    </row>
    <row r="953" spans="1:1">
      <c r="A953" s="20">
        <v>3290</v>
      </c>
    </row>
    <row r="954" spans="1:1">
      <c r="A954" s="20">
        <v>3291</v>
      </c>
    </row>
    <row r="955" spans="1:1">
      <c r="A955" s="20">
        <v>3293</v>
      </c>
    </row>
    <row r="956" spans="1:1">
      <c r="A956" s="20">
        <v>3294</v>
      </c>
    </row>
    <row r="957" spans="1:1">
      <c r="A957" s="20">
        <v>3297</v>
      </c>
    </row>
    <row r="958" spans="1:1">
      <c r="A958" s="20">
        <v>3299</v>
      </c>
    </row>
    <row r="959" spans="1:1">
      <c r="A959" s="20">
        <v>3303</v>
      </c>
    </row>
    <row r="960" spans="1:1">
      <c r="A960" s="20">
        <v>3306</v>
      </c>
    </row>
    <row r="961" spans="1:1">
      <c r="A961" s="20">
        <v>3310</v>
      </c>
    </row>
    <row r="962" spans="1:1">
      <c r="A962" s="20">
        <v>3313</v>
      </c>
    </row>
    <row r="963" spans="1:1">
      <c r="A963" s="20">
        <v>3317</v>
      </c>
    </row>
    <row r="964" spans="1:1">
      <c r="A964" s="20">
        <v>3322</v>
      </c>
    </row>
    <row r="965" spans="1:1">
      <c r="A965" s="20">
        <v>3323</v>
      </c>
    </row>
    <row r="966" spans="1:1">
      <c r="A966" s="20">
        <v>3324</v>
      </c>
    </row>
    <row r="967" spans="1:1">
      <c r="A967" s="20">
        <v>3325</v>
      </c>
    </row>
    <row r="968" spans="1:1">
      <c r="A968" s="20">
        <v>3332</v>
      </c>
    </row>
    <row r="969" spans="1:1">
      <c r="A969" s="20">
        <v>3339</v>
      </c>
    </row>
    <row r="970" spans="1:1">
      <c r="A970" s="20">
        <v>3354</v>
      </c>
    </row>
    <row r="971" spans="1:1">
      <c r="A971" s="20">
        <v>3360</v>
      </c>
    </row>
    <row r="972" spans="1:1">
      <c r="A972" s="20">
        <v>3362</v>
      </c>
    </row>
    <row r="973" spans="1:1">
      <c r="A973" s="20">
        <v>3363</v>
      </c>
    </row>
    <row r="974" spans="1:1">
      <c r="A974" s="20">
        <v>3372</v>
      </c>
    </row>
    <row r="975" spans="1:1">
      <c r="A975" s="20">
        <v>3373</v>
      </c>
    </row>
    <row r="976" spans="1:1">
      <c r="A976" s="20">
        <v>3374</v>
      </c>
    </row>
    <row r="977" spans="1:1">
      <c r="A977" s="20">
        <v>3379</v>
      </c>
    </row>
    <row r="978" spans="1:1">
      <c r="A978" s="20">
        <v>3388</v>
      </c>
    </row>
    <row r="979" spans="1:1">
      <c r="A979" s="20">
        <v>3390</v>
      </c>
    </row>
    <row r="980" spans="1:1">
      <c r="A980" s="20">
        <v>3402</v>
      </c>
    </row>
    <row r="981" spans="1:1">
      <c r="A981" s="20">
        <v>3428</v>
      </c>
    </row>
    <row r="982" spans="1:1">
      <c r="A982" s="20">
        <v>3431</v>
      </c>
    </row>
    <row r="983" spans="1:1">
      <c r="A983" s="20">
        <v>3434</v>
      </c>
    </row>
    <row r="984" spans="1:1">
      <c r="A984" s="20">
        <v>3438</v>
      </c>
    </row>
    <row r="985" spans="1:1">
      <c r="A985" s="20">
        <v>3441</v>
      </c>
    </row>
    <row r="986" spans="1:1">
      <c r="A986" s="20">
        <v>3444</v>
      </c>
    </row>
    <row r="987" spans="1:1">
      <c r="A987" s="20">
        <v>3452</v>
      </c>
    </row>
    <row r="988" spans="1:1">
      <c r="A988" s="20">
        <v>3455</v>
      </c>
    </row>
    <row r="989" spans="1:1">
      <c r="A989" s="20">
        <v>3465</v>
      </c>
    </row>
    <row r="990" spans="1:1">
      <c r="A990" s="20">
        <v>3466</v>
      </c>
    </row>
    <row r="991" spans="1:1">
      <c r="A991" s="20">
        <v>3479</v>
      </c>
    </row>
    <row r="992" spans="1:1">
      <c r="A992" s="20">
        <v>3483</v>
      </c>
    </row>
    <row r="993" spans="1:1">
      <c r="A993" s="20">
        <v>3484</v>
      </c>
    </row>
    <row r="994" spans="1:1">
      <c r="A994" s="20">
        <v>3489</v>
      </c>
    </row>
    <row r="995" spans="1:1">
      <c r="A995" s="20">
        <v>3490</v>
      </c>
    </row>
    <row r="996" spans="1:1">
      <c r="A996" s="20">
        <v>3491</v>
      </c>
    </row>
    <row r="997" spans="1:1">
      <c r="A997" s="20">
        <v>3492</v>
      </c>
    </row>
    <row r="998" spans="1:1">
      <c r="A998" s="20">
        <v>3498</v>
      </c>
    </row>
    <row r="999" spans="1:1">
      <c r="A999" s="20">
        <v>3499</v>
      </c>
    </row>
    <row r="1000" spans="1:1">
      <c r="A1000" s="20">
        <v>3508</v>
      </c>
    </row>
    <row r="1001" spans="1:1">
      <c r="A1001" s="20">
        <v>3511</v>
      </c>
    </row>
    <row r="1002" spans="1:1">
      <c r="A1002" s="20">
        <v>3512</v>
      </c>
    </row>
    <row r="1003" spans="1:1">
      <c r="A1003" s="20">
        <v>3516</v>
      </c>
    </row>
    <row r="1004" spans="1:1">
      <c r="A1004" s="20">
        <v>3520</v>
      </c>
    </row>
    <row r="1005" spans="1:1">
      <c r="A1005" s="20">
        <v>3521</v>
      </c>
    </row>
    <row r="1006" spans="1:1">
      <c r="A1006" s="20">
        <v>3522</v>
      </c>
    </row>
    <row r="1007" spans="1:1">
      <c r="A1007" s="20">
        <v>3523</v>
      </c>
    </row>
    <row r="1008" spans="1:1">
      <c r="A1008" s="20">
        <v>3526</v>
      </c>
    </row>
    <row r="1009" spans="1:1">
      <c r="A1009" s="20">
        <v>3527</v>
      </c>
    </row>
    <row r="1010" spans="1:1">
      <c r="A1010" s="20">
        <v>3528</v>
      </c>
    </row>
    <row r="1011" spans="1:1">
      <c r="A1011" s="20">
        <v>3529</v>
      </c>
    </row>
    <row r="1012" spans="1:1">
      <c r="A1012" s="20">
        <v>3531</v>
      </c>
    </row>
    <row r="1013" spans="1:1">
      <c r="A1013" s="20">
        <v>3537</v>
      </c>
    </row>
    <row r="1014" spans="1:1">
      <c r="A1014" s="20">
        <v>3540</v>
      </c>
    </row>
    <row r="1015" spans="1:1">
      <c r="A1015" s="20">
        <v>3541</v>
      </c>
    </row>
    <row r="1016" spans="1:1">
      <c r="A1016" s="20">
        <v>3546</v>
      </c>
    </row>
    <row r="1017" spans="1:1">
      <c r="A1017" s="20">
        <v>3548</v>
      </c>
    </row>
    <row r="1018" spans="1:1">
      <c r="A1018" s="20">
        <v>3551</v>
      </c>
    </row>
    <row r="1019" spans="1:1">
      <c r="A1019" s="20">
        <v>3552</v>
      </c>
    </row>
    <row r="1020" spans="1:1">
      <c r="A1020" s="20">
        <v>3553</v>
      </c>
    </row>
    <row r="1021" spans="1:1">
      <c r="A1021" s="20">
        <v>3555</v>
      </c>
    </row>
    <row r="1022" spans="1:1">
      <c r="A1022" s="20">
        <v>3556</v>
      </c>
    </row>
    <row r="1023" spans="1:1">
      <c r="A1023" s="20">
        <v>3558</v>
      </c>
    </row>
    <row r="1024" spans="1:1">
      <c r="A1024" s="20">
        <v>3562</v>
      </c>
    </row>
    <row r="1025" spans="1:1">
      <c r="A1025" s="20">
        <v>3563</v>
      </c>
    </row>
    <row r="1026" spans="1:1">
      <c r="A1026" s="20">
        <v>3564</v>
      </c>
    </row>
    <row r="1027" spans="1:1">
      <c r="A1027" s="20">
        <v>3567</v>
      </c>
    </row>
    <row r="1028" spans="1:1">
      <c r="A1028" s="20">
        <v>3570</v>
      </c>
    </row>
    <row r="1029" spans="1:1">
      <c r="A1029" s="20">
        <v>3577</v>
      </c>
    </row>
    <row r="1030" spans="1:1">
      <c r="A1030" s="20">
        <v>3580</v>
      </c>
    </row>
    <row r="1031" spans="1:1">
      <c r="A1031" s="20">
        <v>3581</v>
      </c>
    </row>
    <row r="1032" spans="1:1">
      <c r="A1032" s="20">
        <v>3587</v>
      </c>
    </row>
    <row r="1033" spans="1:1">
      <c r="A1033" s="20">
        <v>3594</v>
      </c>
    </row>
    <row r="1034" spans="1:1">
      <c r="A1034" s="20">
        <v>3609</v>
      </c>
    </row>
    <row r="1035" spans="1:1">
      <c r="A1035" s="20">
        <v>3611</v>
      </c>
    </row>
    <row r="1036" spans="1:1">
      <c r="A1036" s="20">
        <v>3615</v>
      </c>
    </row>
    <row r="1037" spans="1:1">
      <c r="A1037" s="20">
        <v>3623</v>
      </c>
    </row>
    <row r="1038" spans="1:1">
      <c r="A1038" s="20">
        <v>3624</v>
      </c>
    </row>
    <row r="1039" spans="1:1">
      <c r="A1039" s="20">
        <v>3625</v>
      </c>
    </row>
    <row r="1040" spans="1:1">
      <c r="A1040" s="20">
        <v>3628</v>
      </c>
    </row>
    <row r="1041" spans="1:1">
      <c r="A1041" s="20">
        <v>3629</v>
      </c>
    </row>
    <row r="1042" spans="1:1">
      <c r="A1042" s="20">
        <v>3630</v>
      </c>
    </row>
    <row r="1043" spans="1:1">
      <c r="A1043" s="20">
        <v>3631</v>
      </c>
    </row>
    <row r="1044" spans="1:1">
      <c r="A1044" s="20">
        <v>3632</v>
      </c>
    </row>
    <row r="1045" spans="1:1">
      <c r="A1045" s="20">
        <v>3642</v>
      </c>
    </row>
    <row r="1046" spans="1:1">
      <c r="A1046" s="20">
        <v>3646</v>
      </c>
    </row>
    <row r="1047" spans="1:1">
      <c r="A1047" s="20">
        <v>3652</v>
      </c>
    </row>
    <row r="1048" spans="1:1">
      <c r="A1048" s="20">
        <v>3658</v>
      </c>
    </row>
    <row r="1049" spans="1:1">
      <c r="A1049" s="20">
        <v>3662</v>
      </c>
    </row>
    <row r="1050" spans="1:1">
      <c r="A1050" s="20">
        <v>3663</v>
      </c>
    </row>
    <row r="1051" spans="1:1">
      <c r="A1051" s="20">
        <v>3664</v>
      </c>
    </row>
    <row r="1052" spans="1:1">
      <c r="A1052" s="20">
        <v>3666</v>
      </c>
    </row>
    <row r="1053" spans="1:1">
      <c r="A1053" s="20">
        <v>3672</v>
      </c>
    </row>
    <row r="1054" spans="1:1">
      <c r="A1054" s="20">
        <v>3675</v>
      </c>
    </row>
    <row r="1055" spans="1:1">
      <c r="A1055" s="20">
        <v>3680</v>
      </c>
    </row>
    <row r="1056" spans="1:1">
      <c r="A1056" s="20">
        <v>3684</v>
      </c>
    </row>
    <row r="1057" spans="1:1">
      <c r="A1057" s="20">
        <v>3685</v>
      </c>
    </row>
    <row r="1058" spans="1:1">
      <c r="A1058" s="20">
        <v>3687</v>
      </c>
    </row>
    <row r="1059" spans="1:1">
      <c r="A1059" s="20">
        <v>3689</v>
      </c>
    </row>
    <row r="1060" spans="1:1">
      <c r="A1060" s="20">
        <v>3691</v>
      </c>
    </row>
    <row r="1061" spans="1:1">
      <c r="A1061" s="20">
        <v>3693</v>
      </c>
    </row>
    <row r="1062" spans="1:1">
      <c r="A1062" s="20">
        <v>3707</v>
      </c>
    </row>
    <row r="1063" spans="1:1">
      <c r="A1063" s="20">
        <v>4102</v>
      </c>
    </row>
    <row r="1064" spans="1:1">
      <c r="A1064" s="20">
        <v>4103</v>
      </c>
    </row>
    <row r="1065" spans="1:1">
      <c r="A1065" s="20">
        <v>4105</v>
      </c>
    </row>
    <row r="1066" spans="1:1">
      <c r="A1066" s="20">
        <v>4107</v>
      </c>
    </row>
    <row r="1067" spans="1:1">
      <c r="A1067" s="20">
        <v>4109</v>
      </c>
    </row>
    <row r="1068" spans="1:1">
      <c r="A1068" s="20">
        <v>4111</v>
      </c>
    </row>
    <row r="1069" spans="1:1">
      <c r="A1069" s="20">
        <v>4113</v>
      </c>
    </row>
    <row r="1070" spans="1:1">
      <c r="A1070" s="20">
        <v>4114</v>
      </c>
    </row>
    <row r="1071" spans="1:1">
      <c r="A1071" s="20">
        <v>4120</v>
      </c>
    </row>
    <row r="1072" spans="1:1">
      <c r="A1072" s="20">
        <v>4121</v>
      </c>
    </row>
    <row r="1073" spans="1:1">
      <c r="A1073" s="20">
        <v>4123</v>
      </c>
    </row>
    <row r="1074" spans="1:1">
      <c r="A1074" s="20">
        <v>4126</v>
      </c>
    </row>
    <row r="1075" spans="1:1">
      <c r="A1075" s="20">
        <v>4127</v>
      </c>
    </row>
    <row r="1076" spans="1:1">
      <c r="A1076" s="20">
        <v>4128</v>
      </c>
    </row>
    <row r="1077" spans="1:1">
      <c r="A1077" s="20">
        <v>4129</v>
      </c>
    </row>
    <row r="1078" spans="1:1">
      <c r="A1078" s="20">
        <v>4130</v>
      </c>
    </row>
    <row r="1079" spans="1:1">
      <c r="A1079" s="20">
        <v>4131</v>
      </c>
    </row>
    <row r="1080" spans="1:1">
      <c r="A1080" s="20">
        <v>4138</v>
      </c>
    </row>
    <row r="1081" spans="1:1">
      <c r="A1081" s="20">
        <v>4139</v>
      </c>
    </row>
    <row r="1082" spans="1:1">
      <c r="A1082" s="20">
        <v>4152</v>
      </c>
    </row>
    <row r="1083" spans="1:1">
      <c r="A1083" s="20">
        <v>4153</v>
      </c>
    </row>
    <row r="1084" spans="1:1">
      <c r="A1084" s="20">
        <v>4154</v>
      </c>
    </row>
    <row r="1085" spans="1:1">
      <c r="A1085" s="20">
        <v>4157</v>
      </c>
    </row>
    <row r="1086" spans="1:1">
      <c r="A1086" s="20">
        <v>4160</v>
      </c>
    </row>
    <row r="1087" spans="1:1">
      <c r="A1087" s="20">
        <v>4161</v>
      </c>
    </row>
    <row r="1088" spans="1:1">
      <c r="A1088" s="20">
        <v>4162</v>
      </c>
    </row>
    <row r="1089" spans="1:1">
      <c r="A1089" s="20">
        <v>4163</v>
      </c>
    </row>
    <row r="1090" spans="1:1">
      <c r="A1090" s="20">
        <v>4167</v>
      </c>
    </row>
    <row r="1091" spans="1:1">
      <c r="A1091" s="20">
        <v>4168</v>
      </c>
    </row>
    <row r="1092" spans="1:1">
      <c r="A1092" s="20">
        <v>4171</v>
      </c>
    </row>
    <row r="1093" spans="1:1">
      <c r="A1093" s="20">
        <v>4173</v>
      </c>
    </row>
    <row r="1094" spans="1:1">
      <c r="A1094" s="20">
        <v>4174</v>
      </c>
    </row>
    <row r="1095" spans="1:1">
      <c r="A1095" s="20">
        <v>4175</v>
      </c>
    </row>
    <row r="1096" spans="1:1">
      <c r="A1096" s="20">
        <v>4180</v>
      </c>
    </row>
    <row r="1097" spans="1:1">
      <c r="A1097" s="20">
        <v>4188</v>
      </c>
    </row>
    <row r="1098" spans="1:1">
      <c r="A1098" s="20">
        <v>4192</v>
      </c>
    </row>
    <row r="1099" spans="1:1">
      <c r="A1099" s="20">
        <v>4198</v>
      </c>
    </row>
    <row r="1100" spans="1:1">
      <c r="A1100" s="20">
        <v>4205</v>
      </c>
    </row>
    <row r="1101" spans="1:1">
      <c r="A1101" s="20">
        <v>4207</v>
      </c>
    </row>
    <row r="1102" spans="1:1">
      <c r="A1102" s="20">
        <v>4303</v>
      </c>
    </row>
    <row r="1103" spans="1:1">
      <c r="A1103" s="20">
        <v>4304</v>
      </c>
    </row>
    <row r="1104" spans="1:1">
      <c r="A1104" s="20">
        <v>4305</v>
      </c>
    </row>
    <row r="1105" spans="1:1">
      <c r="A1105" s="20">
        <v>4401</v>
      </c>
    </row>
    <row r="1106" spans="1:1">
      <c r="A1106" s="20">
        <v>4402</v>
      </c>
    </row>
    <row r="1107" spans="1:1">
      <c r="A1107" s="20">
        <v>4406</v>
      </c>
    </row>
    <row r="1108" spans="1:1">
      <c r="A1108" s="20">
        <v>4413</v>
      </c>
    </row>
    <row r="1109" spans="1:1">
      <c r="A1109" s="20">
        <v>4415</v>
      </c>
    </row>
    <row r="1110" spans="1:1">
      <c r="A1110" s="20">
        <v>4416</v>
      </c>
    </row>
    <row r="1111" spans="1:1">
      <c r="A1111" s="20">
        <v>4417</v>
      </c>
    </row>
    <row r="1112" spans="1:1">
      <c r="A1112" s="20">
        <v>4419</v>
      </c>
    </row>
    <row r="1113" spans="1:1">
      <c r="A1113" s="20">
        <v>4420</v>
      </c>
    </row>
    <row r="1114" spans="1:1">
      <c r="A1114" s="20">
        <v>4429</v>
      </c>
    </row>
    <row r="1115" spans="1:1">
      <c r="A1115" s="20">
        <v>4430</v>
      </c>
    </row>
    <row r="1116" spans="1:1">
      <c r="A1116" s="20">
        <v>4432</v>
      </c>
    </row>
    <row r="1117" spans="1:1">
      <c r="A1117" s="20">
        <v>4433</v>
      </c>
    </row>
    <row r="1118" spans="1:1">
      <c r="A1118" s="20">
        <v>4502</v>
      </c>
    </row>
    <row r="1119" spans="1:1">
      <c r="A1119" s="20">
        <v>4503</v>
      </c>
    </row>
    <row r="1120" spans="1:1">
      <c r="A1120" s="20">
        <v>4506</v>
      </c>
    </row>
    <row r="1121" spans="1:1">
      <c r="A1121" s="20">
        <v>4510</v>
      </c>
    </row>
    <row r="1122" spans="1:1">
      <c r="A1122" s="20">
        <v>4513</v>
      </c>
    </row>
    <row r="1123" spans="1:1">
      <c r="A1123" s="20">
        <v>4523</v>
      </c>
    </row>
    <row r="1124" spans="1:1">
      <c r="A1124" s="20">
        <v>4527</v>
      </c>
    </row>
    <row r="1125" spans="1:1">
      <c r="A1125" s="20">
        <v>4528</v>
      </c>
    </row>
    <row r="1126" spans="1:1">
      <c r="A1126" s="20">
        <v>4529</v>
      </c>
    </row>
    <row r="1127" spans="1:1">
      <c r="A1127" s="20">
        <v>4530</v>
      </c>
    </row>
    <row r="1128" spans="1:1">
      <c r="A1128" s="20">
        <v>4533</v>
      </c>
    </row>
    <row r="1129" spans="1:1">
      <c r="A1129" s="20">
        <v>4534</v>
      </c>
    </row>
    <row r="1130" spans="1:1">
      <c r="A1130" s="20">
        <v>4535</v>
      </c>
    </row>
    <row r="1131" spans="1:1">
      <c r="A1131" s="20">
        <v>4541</v>
      </c>
    </row>
    <row r="1132" spans="1:1">
      <c r="A1132" s="20">
        <v>4542</v>
      </c>
    </row>
    <row r="1133" spans="1:1">
      <c r="A1133" s="20">
        <v>4549</v>
      </c>
    </row>
    <row r="1134" spans="1:1">
      <c r="A1134" s="20">
        <v>4550</v>
      </c>
    </row>
    <row r="1135" spans="1:1">
      <c r="A1135" s="20">
        <v>4609</v>
      </c>
    </row>
    <row r="1136" spans="1:1">
      <c r="A1136" s="20">
        <v>4702</v>
      </c>
    </row>
    <row r="1137" spans="1:1">
      <c r="A1137" s="20">
        <v>4706</v>
      </c>
    </row>
    <row r="1138" spans="1:1">
      <c r="A1138" s="20">
        <v>4711</v>
      </c>
    </row>
    <row r="1139" spans="1:1">
      <c r="A1139" s="20">
        <v>4712</v>
      </c>
    </row>
    <row r="1140" spans="1:1">
      <c r="A1140" s="20">
        <v>4714</v>
      </c>
    </row>
    <row r="1141" spans="1:1">
      <c r="A1141" s="20">
        <v>4716</v>
      </c>
    </row>
    <row r="1142" spans="1:1">
      <c r="A1142" s="20">
        <v>4721</v>
      </c>
    </row>
    <row r="1143" spans="1:1">
      <c r="A1143" s="20">
        <v>4726</v>
      </c>
    </row>
    <row r="1144" spans="1:1">
      <c r="A1144" s="20">
        <v>4728</v>
      </c>
    </row>
    <row r="1145" spans="1:1">
      <c r="A1145" s="20">
        <v>4729</v>
      </c>
    </row>
    <row r="1146" spans="1:1">
      <c r="A1146" s="20">
        <v>4735</v>
      </c>
    </row>
    <row r="1147" spans="1:1">
      <c r="A1147" s="20">
        <v>4736</v>
      </c>
    </row>
    <row r="1148" spans="1:1">
      <c r="A1148" s="20">
        <v>4739</v>
      </c>
    </row>
    <row r="1149" spans="1:1">
      <c r="A1149" s="20">
        <v>4743</v>
      </c>
    </row>
    <row r="1150" spans="1:1">
      <c r="A1150" s="20">
        <v>4745</v>
      </c>
    </row>
    <row r="1151" spans="1:1">
      <c r="A1151" s="20">
        <v>4747</v>
      </c>
    </row>
    <row r="1152" spans="1:1">
      <c r="A1152" s="20">
        <v>4903</v>
      </c>
    </row>
    <row r="1153" spans="1:1">
      <c r="A1153" s="20">
        <v>4905</v>
      </c>
    </row>
    <row r="1154" spans="1:1">
      <c r="A1154" s="20">
        <v>4907</v>
      </c>
    </row>
    <row r="1155" spans="1:1">
      <c r="A1155" s="20">
        <v>4908</v>
      </c>
    </row>
    <row r="1156" spans="1:1">
      <c r="A1156" s="20">
        <v>4909</v>
      </c>
    </row>
    <row r="1157" spans="1:1">
      <c r="A1157" s="20">
        <v>4911</v>
      </c>
    </row>
    <row r="1158" spans="1:1">
      <c r="A1158" s="20">
        <v>4924</v>
      </c>
    </row>
    <row r="1159" spans="1:1">
      <c r="A1159" s="20">
        <v>4933</v>
      </c>
    </row>
    <row r="1160" spans="1:1">
      <c r="A1160" s="20">
        <v>4939</v>
      </c>
    </row>
    <row r="1161" spans="1:1">
      <c r="A1161" s="20">
        <v>4944</v>
      </c>
    </row>
    <row r="1162" spans="1:1">
      <c r="A1162" s="20">
        <v>4946</v>
      </c>
    </row>
    <row r="1163" spans="1:1">
      <c r="A1163" s="20">
        <v>4947</v>
      </c>
    </row>
    <row r="1164" spans="1:1">
      <c r="A1164" s="20">
        <v>4950</v>
      </c>
    </row>
    <row r="1165" spans="1:1">
      <c r="A1165" s="20">
        <v>4953</v>
      </c>
    </row>
    <row r="1166" spans="1:1">
      <c r="A1166" s="20">
        <v>4965</v>
      </c>
    </row>
    <row r="1167" spans="1:1">
      <c r="A1167" s="20">
        <v>4966</v>
      </c>
    </row>
    <row r="1168" spans="1:1">
      <c r="A1168" s="20">
        <v>4971</v>
      </c>
    </row>
    <row r="1169" spans="1:1">
      <c r="A1169" s="20">
        <v>4972</v>
      </c>
    </row>
    <row r="1170" spans="1:1">
      <c r="A1170" s="20">
        <v>4973</v>
      </c>
    </row>
    <row r="1171" spans="1:1">
      <c r="A1171" s="20">
        <v>4974</v>
      </c>
    </row>
    <row r="1172" spans="1:1">
      <c r="A1172" s="20">
        <v>4979</v>
      </c>
    </row>
    <row r="1173" spans="1:1">
      <c r="A1173" s="20">
        <v>4987</v>
      </c>
    </row>
    <row r="1174" spans="1:1">
      <c r="A1174" s="20">
        <v>4991</v>
      </c>
    </row>
    <row r="1175" spans="1:1">
      <c r="A1175" s="20">
        <v>4995</v>
      </c>
    </row>
    <row r="1176" spans="1:1">
      <c r="A1176" s="20">
        <v>5009</v>
      </c>
    </row>
    <row r="1177" spans="1:1">
      <c r="A1177" s="20">
        <v>5011</v>
      </c>
    </row>
    <row r="1178" spans="1:1">
      <c r="A1178" s="20">
        <v>5013</v>
      </c>
    </row>
    <row r="1179" spans="1:1">
      <c r="A1179" s="20">
        <v>5014</v>
      </c>
    </row>
    <row r="1180" spans="1:1">
      <c r="A1180" s="20">
        <v>5015</v>
      </c>
    </row>
    <row r="1181" spans="1:1">
      <c r="A1181" s="20">
        <v>5016</v>
      </c>
    </row>
    <row r="1182" spans="1:1">
      <c r="A1182" s="20">
        <v>5102</v>
      </c>
    </row>
    <row r="1183" spans="1:1">
      <c r="A1183" s="20">
        <v>5201</v>
      </c>
    </row>
    <row r="1184" spans="1:1">
      <c r="A1184" s="20">
        <v>5202</v>
      </c>
    </row>
    <row r="1185" spans="1:1">
      <c r="A1185" s="20">
        <v>5205</v>
      </c>
    </row>
    <row r="1186" spans="1:1">
      <c r="A1186" s="20">
        <v>5206</v>
      </c>
    </row>
    <row r="1187" spans="1:1">
      <c r="A1187" s="20">
        <v>5209</v>
      </c>
    </row>
    <row r="1188" spans="1:1">
      <c r="A1188" s="20">
        <v>5210</v>
      </c>
    </row>
    <row r="1189" spans="1:1">
      <c r="A1189" s="20">
        <v>5211</v>
      </c>
    </row>
    <row r="1190" spans="1:1">
      <c r="A1190" s="20">
        <v>5212</v>
      </c>
    </row>
    <row r="1191" spans="1:1">
      <c r="A1191" s="20">
        <v>5213</v>
      </c>
    </row>
    <row r="1192" spans="1:1">
      <c r="A1192" s="20">
        <v>5227</v>
      </c>
    </row>
    <row r="1193" spans="1:1">
      <c r="A1193" s="20">
        <v>5230</v>
      </c>
    </row>
    <row r="1194" spans="1:1">
      <c r="A1194" s="20">
        <v>5245</v>
      </c>
    </row>
    <row r="1195" spans="1:1">
      <c r="A1195" s="20">
        <v>5251</v>
      </c>
    </row>
    <row r="1196" spans="1:1">
      <c r="A1196" s="20">
        <v>5255</v>
      </c>
    </row>
    <row r="1197" spans="1:1">
      <c r="A1197" s="20">
        <v>5263</v>
      </c>
    </row>
    <row r="1198" spans="1:1">
      <c r="A1198" s="20">
        <v>5266</v>
      </c>
    </row>
    <row r="1199" spans="1:1">
      <c r="A1199" s="20">
        <v>5272</v>
      </c>
    </row>
    <row r="1200" spans="1:1">
      <c r="A1200" s="20">
        <v>5274</v>
      </c>
    </row>
    <row r="1201" spans="1:1">
      <c r="A1201" s="20">
        <v>5276</v>
      </c>
    </row>
    <row r="1202" spans="1:1">
      <c r="A1202" s="20">
        <v>5278</v>
      </c>
    </row>
    <row r="1203" spans="1:1">
      <c r="A1203" s="20">
        <v>5284</v>
      </c>
    </row>
    <row r="1204" spans="1:1">
      <c r="A1204" s="20">
        <v>5287</v>
      </c>
    </row>
    <row r="1205" spans="1:1">
      <c r="A1205" s="20">
        <v>5289</v>
      </c>
    </row>
    <row r="1206" spans="1:1">
      <c r="A1206" s="20">
        <v>5291</v>
      </c>
    </row>
    <row r="1207" spans="1:1">
      <c r="A1207" s="20">
        <v>5301</v>
      </c>
    </row>
    <row r="1208" spans="1:1">
      <c r="A1208" s="20">
        <v>5302</v>
      </c>
    </row>
    <row r="1209" spans="1:1">
      <c r="A1209" s="20">
        <v>5304</v>
      </c>
    </row>
    <row r="1210" spans="1:1">
      <c r="A1210" s="20">
        <v>5306</v>
      </c>
    </row>
    <row r="1211" spans="1:1">
      <c r="A1211" s="20">
        <v>5309</v>
      </c>
    </row>
    <row r="1212" spans="1:1">
      <c r="A1212" s="20">
        <v>5310</v>
      </c>
    </row>
    <row r="1213" spans="1:1">
      <c r="A1213" s="20">
        <v>5312</v>
      </c>
    </row>
    <row r="1214" spans="1:1">
      <c r="A1214" s="20">
        <v>5314</v>
      </c>
    </row>
    <row r="1215" spans="1:1">
      <c r="A1215" s="20">
        <v>5315</v>
      </c>
    </row>
    <row r="1216" spans="1:1">
      <c r="A1216" s="20">
        <v>5317</v>
      </c>
    </row>
    <row r="1217" spans="1:1">
      <c r="A1217" s="20">
        <v>5321</v>
      </c>
    </row>
    <row r="1218" spans="1:1">
      <c r="A1218" s="20">
        <v>5324</v>
      </c>
    </row>
    <row r="1219" spans="1:1">
      <c r="A1219" s="20">
        <v>5328</v>
      </c>
    </row>
    <row r="1220" spans="1:1">
      <c r="A1220" s="20">
        <v>5340</v>
      </c>
    </row>
    <row r="1221" spans="1:1">
      <c r="A1221" s="20">
        <v>5344</v>
      </c>
    </row>
    <row r="1222" spans="1:1">
      <c r="A1222" s="20">
        <v>5345</v>
      </c>
    </row>
    <row r="1223" spans="1:1">
      <c r="A1223" s="20">
        <v>5347</v>
      </c>
    </row>
    <row r="1224" spans="1:1">
      <c r="A1224" s="20">
        <v>5348</v>
      </c>
    </row>
    <row r="1225" spans="1:1">
      <c r="A1225" s="20">
        <v>5349</v>
      </c>
    </row>
    <row r="1226" spans="1:1">
      <c r="A1226" s="20">
        <v>5351</v>
      </c>
    </row>
    <row r="1227" spans="1:1">
      <c r="A1227" s="20">
        <v>5353</v>
      </c>
    </row>
    <row r="1228" spans="1:1">
      <c r="A1228" s="20">
        <v>5355</v>
      </c>
    </row>
    <row r="1229" spans="1:1">
      <c r="A1229" s="20">
        <v>5356</v>
      </c>
    </row>
    <row r="1230" spans="1:1">
      <c r="A1230" s="20">
        <v>5364</v>
      </c>
    </row>
    <row r="1231" spans="1:1">
      <c r="A1231" s="20">
        <v>5371</v>
      </c>
    </row>
    <row r="1232" spans="1:1">
      <c r="A1232" s="20">
        <v>5381</v>
      </c>
    </row>
    <row r="1233" spans="1:1">
      <c r="A1233" s="20">
        <v>5383</v>
      </c>
    </row>
    <row r="1234" spans="1:1">
      <c r="A1234" s="20">
        <v>5384</v>
      </c>
    </row>
    <row r="1235" spans="1:1">
      <c r="A1235" s="20">
        <v>5386</v>
      </c>
    </row>
    <row r="1236" spans="1:1">
      <c r="A1236" s="20">
        <v>5392</v>
      </c>
    </row>
    <row r="1237" spans="1:1">
      <c r="A1237" s="20">
        <v>5395</v>
      </c>
    </row>
    <row r="1238" spans="1:1">
      <c r="A1238" s="20">
        <v>5398</v>
      </c>
    </row>
    <row r="1239" spans="1:1">
      <c r="A1239" s="20">
        <v>5403</v>
      </c>
    </row>
    <row r="1240" spans="1:1">
      <c r="A1240" s="20">
        <v>5410</v>
      </c>
    </row>
    <row r="1241" spans="1:1">
      <c r="A1241" s="20">
        <v>5425</v>
      </c>
    </row>
    <row r="1242" spans="1:1">
      <c r="A1242" s="20">
        <v>5426</v>
      </c>
    </row>
    <row r="1243" spans="1:1">
      <c r="A1243" s="20">
        <v>5432</v>
      </c>
    </row>
    <row r="1244" spans="1:1">
      <c r="A1244" s="20">
        <v>5438</v>
      </c>
    </row>
    <row r="1245" spans="1:1">
      <c r="A1245" s="20">
        <v>5439</v>
      </c>
    </row>
    <row r="1246" spans="1:1">
      <c r="A1246" s="20">
        <v>5443</v>
      </c>
    </row>
    <row r="1247" spans="1:1">
      <c r="A1247" s="20">
        <v>5450</v>
      </c>
    </row>
    <row r="1248" spans="1:1">
      <c r="A1248" s="20">
        <v>5452</v>
      </c>
    </row>
    <row r="1249" spans="1:1">
      <c r="A1249" s="20">
        <v>5455</v>
      </c>
    </row>
    <row r="1250" spans="1:1">
      <c r="A1250" s="20">
        <v>5457</v>
      </c>
    </row>
    <row r="1251" spans="1:1">
      <c r="A1251" s="20">
        <v>5460</v>
      </c>
    </row>
    <row r="1252" spans="1:1">
      <c r="A1252" s="20">
        <v>5464</v>
      </c>
    </row>
    <row r="1253" spans="1:1">
      <c r="A1253" s="20">
        <v>5465</v>
      </c>
    </row>
    <row r="1254" spans="1:1">
      <c r="A1254" s="20">
        <v>5468</v>
      </c>
    </row>
    <row r="1255" spans="1:1">
      <c r="A1255" s="20">
        <v>5474</v>
      </c>
    </row>
    <row r="1256" spans="1:1">
      <c r="A1256" s="20">
        <v>5475</v>
      </c>
    </row>
    <row r="1257" spans="1:1">
      <c r="A1257" s="20">
        <v>5478</v>
      </c>
    </row>
    <row r="1258" spans="1:1">
      <c r="A1258" s="20">
        <v>5480</v>
      </c>
    </row>
    <row r="1259" spans="1:1">
      <c r="A1259" s="20">
        <v>5481</v>
      </c>
    </row>
    <row r="1260" spans="1:1">
      <c r="A1260" s="20">
        <v>5483</v>
      </c>
    </row>
    <row r="1261" spans="1:1">
      <c r="A1261" s="20">
        <v>5487</v>
      </c>
    </row>
    <row r="1262" spans="1:1">
      <c r="A1262" s="20">
        <v>5488</v>
      </c>
    </row>
    <row r="1263" spans="1:1">
      <c r="A1263" s="20">
        <v>5489</v>
      </c>
    </row>
    <row r="1264" spans="1:1">
      <c r="A1264" s="20">
        <v>5490</v>
      </c>
    </row>
    <row r="1265" spans="1:1">
      <c r="A1265" s="20">
        <v>5491</v>
      </c>
    </row>
    <row r="1266" spans="1:1">
      <c r="A1266" s="20">
        <v>5493</v>
      </c>
    </row>
    <row r="1267" spans="1:1">
      <c r="A1267" s="20">
        <v>5498</v>
      </c>
    </row>
    <row r="1268" spans="1:1">
      <c r="A1268" s="20">
        <v>5506</v>
      </c>
    </row>
    <row r="1269" spans="1:1">
      <c r="A1269" s="20">
        <v>5508</v>
      </c>
    </row>
    <row r="1270" spans="1:1">
      <c r="A1270" s="20">
        <v>5511</v>
      </c>
    </row>
    <row r="1271" spans="1:1">
      <c r="A1271" s="20">
        <v>5512</v>
      </c>
    </row>
    <row r="1272" spans="1:1">
      <c r="A1272" s="20">
        <v>5514</v>
      </c>
    </row>
    <row r="1273" spans="1:1">
      <c r="A1273" s="20">
        <v>5516</v>
      </c>
    </row>
    <row r="1274" spans="1:1">
      <c r="A1274" s="20">
        <v>5520</v>
      </c>
    </row>
    <row r="1275" spans="1:1">
      <c r="A1275" s="20">
        <v>5523</v>
      </c>
    </row>
    <row r="1276" spans="1:1">
      <c r="A1276" s="20">
        <v>5529</v>
      </c>
    </row>
    <row r="1277" spans="1:1">
      <c r="A1277" s="20">
        <v>5530</v>
      </c>
    </row>
    <row r="1278" spans="1:1">
      <c r="A1278" s="20">
        <v>5536</v>
      </c>
    </row>
    <row r="1279" spans="1:1">
      <c r="A1279" s="20">
        <v>5601</v>
      </c>
    </row>
    <row r="1280" spans="1:1">
      <c r="A1280" s="20">
        <v>5603</v>
      </c>
    </row>
    <row r="1281" spans="1:1">
      <c r="A1281" s="20">
        <v>5604</v>
      </c>
    </row>
    <row r="1282" spans="1:1">
      <c r="A1282" s="20">
        <v>5609</v>
      </c>
    </row>
    <row r="1283" spans="1:1">
      <c r="A1283" s="20">
        <v>5701</v>
      </c>
    </row>
    <row r="1284" spans="1:1">
      <c r="A1284" s="20">
        <v>5703</v>
      </c>
    </row>
    <row r="1285" spans="1:1">
      <c r="A1285" s="20">
        <v>5704</v>
      </c>
    </row>
    <row r="1286" spans="1:1">
      <c r="A1286" s="20">
        <v>5878</v>
      </c>
    </row>
    <row r="1287" spans="1:1">
      <c r="A1287" s="20">
        <v>5902</v>
      </c>
    </row>
    <row r="1288" spans="1:1">
      <c r="A1288" s="20">
        <v>5903</v>
      </c>
    </row>
    <row r="1289" spans="1:1">
      <c r="A1289" s="20">
        <v>5904</v>
      </c>
    </row>
    <row r="1290" spans="1:1">
      <c r="A1290" s="20">
        <v>5905</v>
      </c>
    </row>
    <row r="1291" spans="1:1">
      <c r="A1291" s="20">
        <v>6101</v>
      </c>
    </row>
    <row r="1292" spans="1:1">
      <c r="A1292" s="20">
        <v>6103</v>
      </c>
    </row>
    <row r="1293" spans="1:1">
      <c r="A1293" s="20">
        <v>6104</v>
      </c>
    </row>
    <row r="1294" spans="1:1">
      <c r="A1294" s="20">
        <v>6105</v>
      </c>
    </row>
    <row r="1295" spans="1:1">
      <c r="A1295" s="20">
        <v>6107</v>
      </c>
    </row>
    <row r="1296" spans="1:1">
      <c r="A1296" s="20">
        <v>6109</v>
      </c>
    </row>
    <row r="1297" spans="1:1">
      <c r="A1297" s="20">
        <v>6111</v>
      </c>
    </row>
    <row r="1298" spans="1:1">
      <c r="A1298" s="20">
        <v>6113</v>
      </c>
    </row>
    <row r="1299" spans="1:1">
      <c r="A1299" s="20">
        <v>6114</v>
      </c>
    </row>
    <row r="1300" spans="1:1">
      <c r="A1300" s="20">
        <v>6118</v>
      </c>
    </row>
    <row r="1301" spans="1:1">
      <c r="A1301" s="20">
        <v>6121</v>
      </c>
    </row>
    <row r="1302" spans="1:1">
      <c r="A1302" s="20">
        <v>6122</v>
      </c>
    </row>
    <row r="1303" spans="1:1">
      <c r="A1303" s="20">
        <v>6123</v>
      </c>
    </row>
    <row r="1304" spans="1:1">
      <c r="A1304" s="20">
        <v>6124</v>
      </c>
    </row>
    <row r="1305" spans="1:1">
      <c r="A1305" s="20">
        <v>6125</v>
      </c>
    </row>
    <row r="1306" spans="1:1">
      <c r="A1306" s="20">
        <v>6126</v>
      </c>
    </row>
    <row r="1307" spans="1:1">
      <c r="A1307" s="20">
        <v>6127</v>
      </c>
    </row>
    <row r="1308" spans="1:1">
      <c r="A1308" s="20">
        <v>6129</v>
      </c>
    </row>
    <row r="1309" spans="1:1">
      <c r="A1309" s="20">
        <v>6130</v>
      </c>
    </row>
    <row r="1310" spans="1:1">
      <c r="A1310" s="20">
        <v>6134</v>
      </c>
    </row>
    <row r="1311" spans="1:1">
      <c r="A1311" s="20">
        <v>6138</v>
      </c>
    </row>
    <row r="1312" spans="1:1">
      <c r="A1312" s="20">
        <v>6140</v>
      </c>
    </row>
    <row r="1313" spans="1:1">
      <c r="A1313" s="20">
        <v>6143</v>
      </c>
    </row>
    <row r="1314" spans="1:1">
      <c r="A1314" s="20">
        <v>6144</v>
      </c>
    </row>
    <row r="1315" spans="1:1">
      <c r="A1315" s="20">
        <v>6146</v>
      </c>
    </row>
    <row r="1316" spans="1:1">
      <c r="A1316" s="20">
        <v>6147</v>
      </c>
    </row>
    <row r="1317" spans="1:1">
      <c r="A1317" s="20">
        <v>6148</v>
      </c>
    </row>
    <row r="1318" spans="1:1">
      <c r="A1318" s="20">
        <v>6150</v>
      </c>
    </row>
    <row r="1319" spans="1:1">
      <c r="A1319" s="20">
        <v>6151</v>
      </c>
    </row>
    <row r="1320" spans="1:1">
      <c r="A1320" s="20">
        <v>6154</v>
      </c>
    </row>
    <row r="1321" spans="1:1">
      <c r="A1321" s="20">
        <v>6156</v>
      </c>
    </row>
    <row r="1322" spans="1:1">
      <c r="A1322" s="20">
        <v>6158</v>
      </c>
    </row>
    <row r="1323" spans="1:1">
      <c r="A1323" s="20">
        <v>6160</v>
      </c>
    </row>
    <row r="1324" spans="1:1">
      <c r="A1324" s="20">
        <v>6161</v>
      </c>
    </row>
    <row r="1325" spans="1:1">
      <c r="A1325" s="20">
        <v>6163</v>
      </c>
    </row>
    <row r="1326" spans="1:1">
      <c r="A1326" s="20">
        <v>6167</v>
      </c>
    </row>
    <row r="1327" spans="1:1">
      <c r="A1327" s="20">
        <v>6169</v>
      </c>
    </row>
    <row r="1328" spans="1:1">
      <c r="A1328" s="20">
        <v>6170</v>
      </c>
    </row>
    <row r="1329" spans="1:1">
      <c r="A1329" s="20">
        <v>6171</v>
      </c>
    </row>
    <row r="1330" spans="1:1">
      <c r="A1330" s="20">
        <v>6173</v>
      </c>
    </row>
    <row r="1331" spans="1:1">
      <c r="A1331" s="20">
        <v>6174</v>
      </c>
    </row>
    <row r="1332" spans="1:1">
      <c r="A1332" s="20">
        <v>6175</v>
      </c>
    </row>
    <row r="1333" spans="1:1">
      <c r="A1333" s="20">
        <v>6179</v>
      </c>
    </row>
    <row r="1334" spans="1:1">
      <c r="A1334" s="20">
        <v>6180</v>
      </c>
    </row>
    <row r="1335" spans="1:1">
      <c r="A1335" s="20">
        <v>6182</v>
      </c>
    </row>
    <row r="1336" spans="1:1">
      <c r="A1336" s="20">
        <v>6185</v>
      </c>
    </row>
    <row r="1337" spans="1:1">
      <c r="A1337" s="20">
        <v>6186</v>
      </c>
    </row>
    <row r="1338" spans="1:1">
      <c r="A1338" s="20">
        <v>6187</v>
      </c>
    </row>
    <row r="1339" spans="1:1">
      <c r="A1339" s="20">
        <v>6188</v>
      </c>
    </row>
    <row r="1340" spans="1:1">
      <c r="A1340" s="20">
        <v>6190</v>
      </c>
    </row>
    <row r="1341" spans="1:1">
      <c r="A1341" s="20">
        <v>6194</v>
      </c>
    </row>
    <row r="1342" spans="1:1">
      <c r="A1342" s="20">
        <v>6195</v>
      </c>
    </row>
    <row r="1343" spans="1:1">
      <c r="A1343" s="20">
        <v>6198</v>
      </c>
    </row>
    <row r="1344" spans="1:1">
      <c r="A1344" s="20">
        <v>6199</v>
      </c>
    </row>
    <row r="1345" spans="1:1">
      <c r="A1345" s="20">
        <v>6203</v>
      </c>
    </row>
    <row r="1346" spans="1:1">
      <c r="A1346" s="20">
        <v>6204</v>
      </c>
    </row>
    <row r="1347" spans="1:1">
      <c r="A1347" s="20">
        <v>6207</v>
      </c>
    </row>
    <row r="1348" spans="1:1">
      <c r="A1348" s="20">
        <v>6208</v>
      </c>
    </row>
    <row r="1349" spans="1:1">
      <c r="A1349" s="20">
        <v>6210</v>
      </c>
    </row>
    <row r="1350" spans="1:1">
      <c r="A1350" s="20">
        <v>6211</v>
      </c>
    </row>
    <row r="1351" spans="1:1">
      <c r="A1351" s="20">
        <v>6212</v>
      </c>
    </row>
    <row r="1352" spans="1:1">
      <c r="A1352" s="20">
        <v>6217</v>
      </c>
    </row>
    <row r="1353" spans="1:1">
      <c r="A1353" s="20">
        <v>6218</v>
      </c>
    </row>
    <row r="1354" spans="1:1">
      <c r="A1354" s="20">
        <v>6219</v>
      </c>
    </row>
    <row r="1355" spans="1:1">
      <c r="A1355" s="20">
        <v>6220</v>
      </c>
    </row>
    <row r="1356" spans="1:1">
      <c r="A1356" s="20">
        <v>6221</v>
      </c>
    </row>
    <row r="1357" spans="1:1">
      <c r="A1357" s="20">
        <v>6222</v>
      </c>
    </row>
    <row r="1358" spans="1:1">
      <c r="A1358" s="20">
        <v>6223</v>
      </c>
    </row>
    <row r="1359" spans="1:1">
      <c r="A1359" s="20">
        <v>6227</v>
      </c>
    </row>
    <row r="1360" spans="1:1">
      <c r="A1360" s="20">
        <v>6228</v>
      </c>
    </row>
    <row r="1361" spans="1:1">
      <c r="A1361" s="20">
        <v>6229</v>
      </c>
    </row>
    <row r="1362" spans="1:1">
      <c r="A1362" s="20">
        <v>6231</v>
      </c>
    </row>
    <row r="1363" spans="1:1">
      <c r="A1363" s="20">
        <v>6233</v>
      </c>
    </row>
    <row r="1364" spans="1:1">
      <c r="A1364" s="20">
        <v>6234</v>
      </c>
    </row>
    <row r="1365" spans="1:1">
      <c r="A1365" s="20">
        <v>6236</v>
      </c>
    </row>
    <row r="1366" spans="1:1">
      <c r="A1366" s="20">
        <v>6237</v>
      </c>
    </row>
    <row r="1367" spans="1:1">
      <c r="A1367" s="20">
        <v>6238</v>
      </c>
    </row>
    <row r="1368" spans="1:1">
      <c r="A1368" s="20">
        <v>6240</v>
      </c>
    </row>
    <row r="1369" spans="1:1">
      <c r="A1369" s="20">
        <v>6241</v>
      </c>
    </row>
    <row r="1370" spans="1:1">
      <c r="A1370" s="20">
        <v>6242</v>
      </c>
    </row>
    <row r="1371" spans="1:1">
      <c r="A1371" s="20">
        <v>6244</v>
      </c>
    </row>
    <row r="1372" spans="1:1">
      <c r="A1372" s="20">
        <v>6245</v>
      </c>
    </row>
    <row r="1373" spans="1:1">
      <c r="A1373" s="20">
        <v>6246</v>
      </c>
    </row>
    <row r="1374" spans="1:1">
      <c r="A1374" s="20">
        <v>6247</v>
      </c>
    </row>
    <row r="1375" spans="1:1">
      <c r="A1375" s="20">
        <v>6248</v>
      </c>
    </row>
    <row r="1376" spans="1:1">
      <c r="A1376" s="20">
        <v>6250</v>
      </c>
    </row>
    <row r="1377" spans="1:1">
      <c r="A1377" s="20">
        <v>6259</v>
      </c>
    </row>
    <row r="1378" spans="1:1">
      <c r="A1378" s="20">
        <v>6261</v>
      </c>
    </row>
    <row r="1379" spans="1:1">
      <c r="A1379" s="20">
        <v>6263</v>
      </c>
    </row>
    <row r="1380" spans="1:1">
      <c r="A1380" s="20">
        <v>6264</v>
      </c>
    </row>
    <row r="1381" spans="1:1">
      <c r="A1381" s="20">
        <v>6265</v>
      </c>
    </row>
    <row r="1382" spans="1:1">
      <c r="A1382" s="20">
        <v>6266</v>
      </c>
    </row>
    <row r="1383" spans="1:1">
      <c r="A1383" s="20">
        <v>6270</v>
      </c>
    </row>
    <row r="1384" spans="1:1">
      <c r="A1384" s="20">
        <v>6274</v>
      </c>
    </row>
    <row r="1385" spans="1:1">
      <c r="A1385" s="20">
        <v>6275</v>
      </c>
    </row>
    <row r="1386" spans="1:1">
      <c r="A1386" s="20">
        <v>6276</v>
      </c>
    </row>
    <row r="1387" spans="1:1">
      <c r="A1387" s="20">
        <v>6279</v>
      </c>
    </row>
    <row r="1388" spans="1:1">
      <c r="A1388" s="20">
        <v>6284</v>
      </c>
    </row>
    <row r="1389" spans="1:1">
      <c r="A1389" s="20">
        <v>6287</v>
      </c>
    </row>
    <row r="1390" spans="1:1">
      <c r="A1390" s="20">
        <v>6290</v>
      </c>
    </row>
    <row r="1391" spans="1:1">
      <c r="A1391" s="20">
        <v>6291</v>
      </c>
    </row>
    <row r="1392" spans="1:1">
      <c r="A1392" s="20">
        <v>6292</v>
      </c>
    </row>
    <row r="1393" spans="1:1">
      <c r="A1393" s="20">
        <v>6294</v>
      </c>
    </row>
    <row r="1394" spans="1:1">
      <c r="A1394" s="20">
        <v>6298</v>
      </c>
    </row>
    <row r="1395" spans="1:1">
      <c r="A1395" s="20">
        <v>6404</v>
      </c>
    </row>
    <row r="1396" spans="1:1">
      <c r="A1396" s="20">
        <v>6411</v>
      </c>
    </row>
    <row r="1397" spans="1:1">
      <c r="A1397" s="20">
        <v>6417</v>
      </c>
    </row>
    <row r="1398" spans="1:1">
      <c r="A1398" s="20">
        <v>6419</v>
      </c>
    </row>
    <row r="1399" spans="1:1">
      <c r="A1399" s="20">
        <v>6426</v>
      </c>
    </row>
    <row r="1400" spans="1:1">
      <c r="A1400" s="20">
        <v>6432</v>
      </c>
    </row>
    <row r="1401" spans="1:1">
      <c r="A1401" s="20">
        <v>6457</v>
      </c>
    </row>
    <row r="1402" spans="1:1">
      <c r="A1402" s="20">
        <v>6488</v>
      </c>
    </row>
    <row r="1403" spans="1:1">
      <c r="A1403" s="20">
        <v>6506</v>
      </c>
    </row>
    <row r="1404" spans="1:1">
      <c r="A1404" s="20">
        <v>6508</v>
      </c>
    </row>
    <row r="1405" spans="1:1">
      <c r="A1405" s="20">
        <v>6509</v>
      </c>
    </row>
    <row r="1406" spans="1:1">
      <c r="A1406" s="20">
        <v>6603</v>
      </c>
    </row>
    <row r="1407" spans="1:1">
      <c r="A1407" s="20">
        <v>6609</v>
      </c>
    </row>
    <row r="1408" spans="1:1">
      <c r="A1408" s="20">
        <v>6803</v>
      </c>
    </row>
    <row r="1409" spans="1:1">
      <c r="A1409" s="20">
        <v>8024</v>
      </c>
    </row>
    <row r="1410" spans="1:1">
      <c r="A1410" s="20">
        <v>8027</v>
      </c>
    </row>
    <row r="1411" spans="1:1">
      <c r="A1411" s="20">
        <v>8032</v>
      </c>
    </row>
    <row r="1412" spans="1:1">
      <c r="A1412" s="20">
        <v>8034</v>
      </c>
    </row>
    <row r="1413" spans="1:1">
      <c r="A1413" s="20">
        <v>8038</v>
      </c>
    </row>
    <row r="1414" spans="1:1">
      <c r="A1414" s="20">
        <v>8040</v>
      </c>
    </row>
    <row r="1415" spans="1:1">
      <c r="A1415" s="20">
        <v>8042</v>
      </c>
    </row>
    <row r="1416" spans="1:1">
      <c r="A1416" s="20">
        <v>8043</v>
      </c>
    </row>
    <row r="1417" spans="1:1">
      <c r="A1417" s="20">
        <v>8044</v>
      </c>
    </row>
    <row r="1418" spans="1:1">
      <c r="A1418" s="20">
        <v>8047</v>
      </c>
    </row>
    <row r="1419" spans="1:1">
      <c r="A1419" s="20">
        <v>8048</v>
      </c>
    </row>
    <row r="1420" spans="1:1">
      <c r="A1420" s="20">
        <v>8049</v>
      </c>
    </row>
    <row r="1421" spans="1:1">
      <c r="A1421" s="20">
        <v>8050</v>
      </c>
    </row>
    <row r="1422" spans="1:1">
      <c r="A1422" s="20">
        <v>8053</v>
      </c>
    </row>
    <row r="1423" spans="1:1">
      <c r="A1423" s="20">
        <v>8054</v>
      </c>
    </row>
    <row r="1424" spans="1:1">
      <c r="A1424" s="20">
        <v>8059</v>
      </c>
    </row>
    <row r="1425" spans="1:1">
      <c r="A1425" s="20">
        <v>8064</v>
      </c>
    </row>
    <row r="1426" spans="1:1">
      <c r="A1426" s="20">
        <v>8066</v>
      </c>
    </row>
    <row r="1427" spans="1:1">
      <c r="A1427" s="20">
        <v>8067</v>
      </c>
    </row>
    <row r="1428" spans="1:1">
      <c r="A1428" s="20">
        <v>8068</v>
      </c>
    </row>
    <row r="1429" spans="1:1">
      <c r="A1429" s="20">
        <v>8069</v>
      </c>
    </row>
    <row r="1430" spans="1:1">
      <c r="A1430" s="20">
        <v>8071</v>
      </c>
    </row>
    <row r="1431" spans="1:1">
      <c r="A1431" s="20">
        <v>8074</v>
      </c>
    </row>
    <row r="1432" spans="1:1">
      <c r="A1432" s="20">
        <v>8076</v>
      </c>
    </row>
    <row r="1433" spans="1:1">
      <c r="A1433" s="20">
        <v>8077</v>
      </c>
    </row>
    <row r="1434" spans="1:1">
      <c r="A1434" s="20">
        <v>8079</v>
      </c>
    </row>
    <row r="1435" spans="1:1">
      <c r="A1435" s="20">
        <v>8080</v>
      </c>
    </row>
    <row r="1436" spans="1:1">
      <c r="A1436" s="20">
        <v>8082</v>
      </c>
    </row>
    <row r="1437" spans="1:1">
      <c r="A1437" s="20">
        <v>8083</v>
      </c>
    </row>
    <row r="1438" spans="1:1">
      <c r="A1438" s="20">
        <v>8084</v>
      </c>
    </row>
    <row r="1439" spans="1:1">
      <c r="A1439" s="20">
        <v>8085</v>
      </c>
    </row>
    <row r="1440" spans="1:1">
      <c r="A1440" s="20">
        <v>8086</v>
      </c>
    </row>
    <row r="1441" spans="1:1">
      <c r="A1441" s="20">
        <v>8087</v>
      </c>
    </row>
    <row r="1442" spans="1:1">
      <c r="A1442" s="20">
        <v>8088</v>
      </c>
    </row>
    <row r="1443" spans="1:1">
      <c r="A1443" s="20">
        <v>8091</v>
      </c>
    </row>
    <row r="1444" spans="1:1">
      <c r="A1444" s="20">
        <v>8092</v>
      </c>
    </row>
    <row r="1445" spans="1:1">
      <c r="A1445" s="20">
        <v>8093</v>
      </c>
    </row>
    <row r="1446" spans="1:1">
      <c r="A1446" s="20">
        <v>8096</v>
      </c>
    </row>
    <row r="1447" spans="1:1">
      <c r="A1447" s="20">
        <v>8097</v>
      </c>
    </row>
    <row r="1448" spans="1:1">
      <c r="A1448" s="20">
        <v>8099</v>
      </c>
    </row>
    <row r="1449" spans="1:1">
      <c r="A1449" s="20">
        <v>8107</v>
      </c>
    </row>
    <row r="1450" spans="1:1">
      <c r="A1450" s="20">
        <v>8109</v>
      </c>
    </row>
    <row r="1451" spans="1:1">
      <c r="A1451" s="20">
        <v>8111</v>
      </c>
    </row>
    <row r="1452" spans="1:1">
      <c r="A1452" s="20">
        <v>8121</v>
      </c>
    </row>
    <row r="1453" spans="1:1">
      <c r="A1453" s="20">
        <v>8147</v>
      </c>
    </row>
    <row r="1454" spans="1:1">
      <c r="A1454" s="20">
        <v>8155</v>
      </c>
    </row>
    <row r="1455" spans="1:1">
      <c r="A1455" s="20">
        <v>8171</v>
      </c>
    </row>
    <row r="1456" spans="1:1">
      <c r="A1456" s="20">
        <v>8176</v>
      </c>
    </row>
    <row r="1457" spans="1:1">
      <c r="A1457" s="20">
        <v>8182</v>
      </c>
    </row>
    <row r="1458" spans="1:1">
      <c r="A1458" s="20">
        <v>8183</v>
      </c>
    </row>
    <row r="1459" spans="1:1">
      <c r="A1459" s="20">
        <v>8234</v>
      </c>
    </row>
    <row r="1460" spans="1:1">
      <c r="A1460" s="20">
        <v>8240</v>
      </c>
    </row>
    <row r="1461" spans="1:1">
      <c r="A1461" s="20">
        <v>8255</v>
      </c>
    </row>
    <row r="1462" spans="1:1">
      <c r="A1462" s="20">
        <v>8266</v>
      </c>
    </row>
    <row r="1463" spans="1:1">
      <c r="A1463" s="20">
        <v>8277</v>
      </c>
    </row>
    <row r="1464" spans="1:1">
      <c r="A1464" s="20">
        <v>8287</v>
      </c>
    </row>
    <row r="1465" spans="1:1">
      <c r="A1465" s="20">
        <v>8289</v>
      </c>
    </row>
    <row r="1466" spans="1:1">
      <c r="A1466" s="20">
        <v>8291</v>
      </c>
    </row>
    <row r="1467" spans="1:1">
      <c r="A1467" s="20">
        <v>8299</v>
      </c>
    </row>
    <row r="1468" spans="1:1">
      <c r="A1468" s="20">
        <v>8349</v>
      </c>
    </row>
    <row r="1469" spans="1:1">
      <c r="A1469" s="20">
        <v>8354</v>
      </c>
    </row>
    <row r="1470" spans="1:1">
      <c r="A1470" s="20">
        <v>8358</v>
      </c>
    </row>
    <row r="1471" spans="1:1">
      <c r="A1471" s="20">
        <v>8383</v>
      </c>
    </row>
    <row r="1472" spans="1:1">
      <c r="A1472" s="20">
        <v>8390</v>
      </c>
    </row>
    <row r="1473" spans="1:1">
      <c r="A1473" s="20">
        <v>8401</v>
      </c>
    </row>
    <row r="1474" spans="1:1">
      <c r="A1474" s="20">
        <v>8403</v>
      </c>
    </row>
    <row r="1475" spans="1:1">
      <c r="A1475" s="20">
        <v>8406</v>
      </c>
    </row>
    <row r="1476" spans="1:1">
      <c r="A1476" s="20">
        <v>8409</v>
      </c>
    </row>
    <row r="1477" spans="1:1">
      <c r="A1477" s="20">
        <v>8410</v>
      </c>
    </row>
    <row r="1478" spans="1:1">
      <c r="A1478" s="20">
        <v>8416</v>
      </c>
    </row>
    <row r="1479" spans="1:1">
      <c r="A1479" s="20">
        <v>8418</v>
      </c>
    </row>
    <row r="1480" spans="1:1">
      <c r="A1480" s="20">
        <v>8420</v>
      </c>
    </row>
    <row r="1481" spans="1:1">
      <c r="A1481" s="20">
        <v>8421</v>
      </c>
    </row>
    <row r="1482" spans="1:1">
      <c r="A1482" s="20">
        <v>8423</v>
      </c>
    </row>
    <row r="1483" spans="1:1">
      <c r="A1483" s="20">
        <v>8424</v>
      </c>
    </row>
    <row r="1484" spans="1:1">
      <c r="A1484" s="20">
        <v>8426</v>
      </c>
    </row>
    <row r="1485" spans="1:1">
      <c r="A1485" s="20">
        <v>8431</v>
      </c>
    </row>
    <row r="1486" spans="1:1">
      <c r="A1486" s="20">
        <v>8432</v>
      </c>
    </row>
    <row r="1487" spans="1:1">
      <c r="A1487" s="20">
        <v>8433</v>
      </c>
    </row>
    <row r="1488" spans="1:1">
      <c r="A1488" s="20">
        <v>8435</v>
      </c>
    </row>
    <row r="1489" spans="1:1">
      <c r="A1489" s="20">
        <v>8436</v>
      </c>
    </row>
    <row r="1490" spans="1:1">
      <c r="A1490" s="20">
        <v>8437</v>
      </c>
    </row>
    <row r="1491" spans="1:1">
      <c r="A1491" s="20">
        <v>8444</v>
      </c>
    </row>
    <row r="1492" spans="1:1">
      <c r="A1492" s="20">
        <v>8446</v>
      </c>
    </row>
    <row r="1493" spans="1:1">
      <c r="A1493" s="20">
        <v>8450</v>
      </c>
    </row>
    <row r="1494" spans="1:1">
      <c r="A1494" s="20">
        <v>8905</v>
      </c>
    </row>
    <row r="1495" spans="1:1">
      <c r="A1495" s="20">
        <v>8906</v>
      </c>
    </row>
    <row r="1496" spans="1:1">
      <c r="A1496" s="20">
        <v>8908</v>
      </c>
    </row>
    <row r="1497" spans="1:1">
      <c r="A1497" s="20">
        <v>8913</v>
      </c>
    </row>
    <row r="1498" spans="1:1">
      <c r="A1498" s="20">
        <v>8916</v>
      </c>
    </row>
    <row r="1499" spans="1:1">
      <c r="A1499" s="20">
        <v>8917</v>
      </c>
    </row>
    <row r="1500" spans="1:1">
      <c r="A1500" s="20">
        <v>8921</v>
      </c>
    </row>
    <row r="1501" spans="1:1">
      <c r="A1501" s="20">
        <v>8923</v>
      </c>
    </row>
    <row r="1502" spans="1:1">
      <c r="A1502" s="20">
        <v>8924</v>
      </c>
    </row>
    <row r="1503" spans="1:1">
      <c r="A1503" s="20">
        <v>8925</v>
      </c>
    </row>
    <row r="1504" spans="1:1">
      <c r="A1504" s="20">
        <v>8927</v>
      </c>
    </row>
    <row r="1505" spans="1:1">
      <c r="A1505" s="20">
        <v>8928</v>
      </c>
    </row>
    <row r="1506" spans="1:1">
      <c r="A1506" s="20">
        <v>8929</v>
      </c>
    </row>
    <row r="1507" spans="1:1">
      <c r="A1507" s="20">
        <v>8930</v>
      </c>
    </row>
    <row r="1508" spans="1:1">
      <c r="A1508" s="20">
        <v>8931</v>
      </c>
    </row>
    <row r="1509" spans="1:1">
      <c r="A1509" s="20">
        <v>8932</v>
      </c>
    </row>
    <row r="1510" spans="1:1">
      <c r="A1510" s="20">
        <v>8933</v>
      </c>
    </row>
    <row r="1511" spans="1:1">
      <c r="A1511" s="20">
        <v>8934</v>
      </c>
    </row>
    <row r="1512" spans="1:1">
      <c r="A1512" s="20">
        <v>8935</v>
      </c>
    </row>
    <row r="1513" spans="1:1">
      <c r="A1513" s="20">
        <v>8936</v>
      </c>
    </row>
    <row r="1514" spans="1:1">
      <c r="A1514" s="20">
        <v>8937</v>
      </c>
    </row>
    <row r="1515" spans="1:1">
      <c r="A1515" s="20">
        <v>8938</v>
      </c>
    </row>
    <row r="1516" spans="1:1">
      <c r="A1516" s="20">
        <v>8941</v>
      </c>
    </row>
    <row r="1517" spans="1:1">
      <c r="A1517" s="20">
        <v>8942</v>
      </c>
    </row>
    <row r="1518" spans="1:1">
      <c r="A1518" s="20">
        <v>9949</v>
      </c>
    </row>
    <row r="1519" spans="1:1">
      <c r="A1519" s="20">
        <v>9950</v>
      </c>
    </row>
    <row r="1520" spans="1:1">
      <c r="A1520" s="20">
        <v>9951</v>
      </c>
    </row>
    <row r="1521" spans="1:1">
      <c r="A1521" s="20">
        <v>9960</v>
      </c>
    </row>
    <row r="1522" spans="1:1">
      <c r="A1522" s="20">
        <v>9962</v>
      </c>
    </row>
  </sheetData>
  <sortState ref="A4:S105">
    <sortCondition descending="1" ref="N3"/>
  </sortState>
  <mergeCells count="6">
    <mergeCell ref="A1:B1"/>
    <mergeCell ref="C1:O1"/>
    <mergeCell ref="A2:B2"/>
    <mergeCell ref="C2:G2"/>
    <mergeCell ref="O2:S2"/>
    <mergeCell ref="H2:M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0" r:id="rId4" name="CommandButton15">
          <controlPr defaultSize="0" autoLine="0" r:id="rId5">
            <anchor moveWithCells="1">
              <from>
                <xdr:col>17</xdr:col>
                <xdr:colOff>38100</xdr:colOff>
                <xdr:row>1</xdr:row>
                <xdr:rowOff>19050</xdr:rowOff>
              </from>
              <to>
                <xdr:col>17</xdr:col>
                <xdr:colOff>790575</xdr:colOff>
                <xdr:row>1</xdr:row>
                <xdr:rowOff>342900</xdr:rowOff>
              </to>
            </anchor>
          </controlPr>
        </control>
      </mc:Choice>
      <mc:Fallback>
        <control shapeId="2070" r:id="rId4" name="CommandButton15"/>
      </mc:Fallback>
    </mc:AlternateContent>
    <mc:AlternateContent xmlns:mc="http://schemas.openxmlformats.org/markup-compatibility/2006">
      <mc:Choice Requires="x14">
        <control shapeId="2069" r:id="rId6" name="CommandButton14">
          <controlPr defaultSize="0" autoLine="0" r:id="rId7">
            <anchor moveWithCells="1">
              <from>
                <xdr:col>18</xdr:col>
                <xdr:colOff>38100</xdr:colOff>
                <xdr:row>0</xdr:row>
                <xdr:rowOff>38100</xdr:rowOff>
              </from>
              <to>
                <xdr:col>18</xdr:col>
                <xdr:colOff>581025</xdr:colOff>
                <xdr:row>0</xdr:row>
                <xdr:rowOff>295275</xdr:rowOff>
              </to>
            </anchor>
          </controlPr>
        </control>
      </mc:Choice>
      <mc:Fallback>
        <control shapeId="2069" r:id="rId6" name="CommandButton14"/>
      </mc:Fallback>
    </mc:AlternateContent>
    <mc:AlternateContent xmlns:mc="http://schemas.openxmlformats.org/markup-compatibility/2006">
      <mc:Choice Requires="x14">
        <control shapeId="2068" r:id="rId8" name="CommandButton13">
          <controlPr defaultSize="0" autoLine="0" r:id="rId9">
            <anchor moveWithCells="1">
              <from>
                <xdr:col>17</xdr:col>
                <xdr:colOff>38100</xdr:colOff>
                <xdr:row>0</xdr:row>
                <xdr:rowOff>38100</xdr:rowOff>
              </from>
              <to>
                <xdr:col>17</xdr:col>
                <xdr:colOff>790575</xdr:colOff>
                <xdr:row>0</xdr:row>
                <xdr:rowOff>295275</xdr:rowOff>
              </to>
            </anchor>
          </controlPr>
        </control>
      </mc:Choice>
      <mc:Fallback>
        <control shapeId="2068" r:id="rId8" name="CommandButton13"/>
      </mc:Fallback>
    </mc:AlternateContent>
    <mc:AlternateContent xmlns:mc="http://schemas.openxmlformats.org/markup-compatibility/2006">
      <mc:Choice Requires="x14">
        <control shapeId="2062" r:id="rId10" name="CommandButton9">
          <controlPr defaultSize="0" autoLine="0" autoPict="0" r:id="rId11">
            <anchor moveWithCells="1">
              <from>
                <xdr:col>14</xdr:col>
                <xdr:colOff>19050</xdr:colOff>
                <xdr:row>1</xdr:row>
                <xdr:rowOff>19050</xdr:rowOff>
              </from>
              <to>
                <xdr:col>15</xdr:col>
                <xdr:colOff>609600</xdr:colOff>
                <xdr:row>1</xdr:row>
                <xdr:rowOff>342900</xdr:rowOff>
              </to>
            </anchor>
          </controlPr>
        </control>
      </mc:Choice>
      <mc:Fallback>
        <control shapeId="2062" r:id="rId10" name="CommandButton9"/>
      </mc:Fallback>
    </mc:AlternateContent>
    <mc:AlternateContent xmlns:mc="http://schemas.openxmlformats.org/markup-compatibility/2006">
      <mc:Choice Requires="x14">
        <control shapeId="2059" r:id="rId12" name="CommandButton7">
          <controlPr defaultSize="0" autoLine="0" r:id="rId13">
            <anchor moveWithCells="1">
              <from>
                <xdr:col>7</xdr:col>
                <xdr:colOff>47625</xdr:colOff>
                <xdr:row>0</xdr:row>
                <xdr:rowOff>38100</xdr:rowOff>
              </from>
              <to>
                <xdr:col>7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2059" r:id="rId12" name="CommandButton7"/>
      </mc:Fallback>
    </mc:AlternateContent>
    <mc:AlternateContent xmlns:mc="http://schemas.openxmlformats.org/markup-compatibility/2006">
      <mc:Choice Requires="x14">
        <control shapeId="2053" r:id="rId14" name="CommandButton6">
          <controlPr defaultSize="0" autoLine="0" r:id="rId15">
            <anchor moveWithCells="1">
              <from>
                <xdr:col>0</xdr:col>
                <xdr:colOff>657225</xdr:colOff>
                <xdr:row>1</xdr:row>
                <xdr:rowOff>19050</xdr:rowOff>
              </from>
              <to>
                <xdr:col>1</xdr:col>
                <xdr:colOff>695325</xdr:colOff>
                <xdr:row>1</xdr:row>
                <xdr:rowOff>342900</xdr:rowOff>
              </to>
            </anchor>
          </controlPr>
        </control>
      </mc:Choice>
      <mc:Fallback>
        <control shapeId="2053" r:id="rId14" name="CommandButton6"/>
      </mc:Fallback>
    </mc:AlternateContent>
    <mc:AlternateContent xmlns:mc="http://schemas.openxmlformats.org/markup-compatibility/2006">
      <mc:Choice Requires="x14">
        <control shapeId="2052" r:id="rId16" name="CommandButton5">
          <controlPr defaultSize="0" autoLine="0" autoPict="0" r:id="rId17">
            <anchor moveWithCells="1">
              <from>
                <xdr:col>8</xdr:col>
                <xdr:colOff>38100</xdr:colOff>
                <xdr:row>0</xdr:row>
                <xdr:rowOff>38100</xdr:rowOff>
              </from>
              <to>
                <xdr:col>8</xdr:col>
                <xdr:colOff>381000</xdr:colOff>
                <xdr:row>0</xdr:row>
                <xdr:rowOff>295275</xdr:rowOff>
              </to>
            </anchor>
          </controlPr>
        </control>
      </mc:Choice>
      <mc:Fallback>
        <control shapeId="2052" r:id="rId16" name="CommandButton5"/>
      </mc:Fallback>
    </mc:AlternateContent>
    <mc:AlternateContent xmlns:mc="http://schemas.openxmlformats.org/markup-compatibility/2006">
      <mc:Choice Requires="x14">
        <control shapeId="2051" r:id="rId18" name="CommandButton4">
          <controlPr defaultSize="0" autoLine="0" autoPict="0" r:id="rId19">
            <anchor moveWithCells="1">
              <from>
                <xdr:col>9</xdr:col>
                <xdr:colOff>19050</xdr:colOff>
                <xdr:row>0</xdr:row>
                <xdr:rowOff>38100</xdr:rowOff>
              </from>
              <to>
                <xdr:col>9</xdr:col>
                <xdr:colOff>361950</xdr:colOff>
                <xdr:row>0</xdr:row>
                <xdr:rowOff>295275</xdr:rowOff>
              </to>
            </anchor>
          </controlPr>
        </control>
      </mc:Choice>
      <mc:Fallback>
        <control shapeId="2051" r:id="rId18" name="CommandButton4"/>
      </mc:Fallback>
    </mc:AlternateContent>
    <mc:AlternateContent xmlns:mc="http://schemas.openxmlformats.org/markup-compatibility/2006">
      <mc:Choice Requires="x14">
        <control shapeId="2050" r:id="rId20" name="CommandButton3">
          <controlPr defaultSize="0" autoLine="0" autoPict="0" r:id="rId21">
            <anchor moveWithCells="1">
              <from>
                <xdr:col>11</xdr:col>
                <xdr:colOff>57150</xdr:colOff>
                <xdr:row>0</xdr:row>
                <xdr:rowOff>38100</xdr:rowOff>
              </from>
              <to>
                <xdr:col>11</xdr:col>
                <xdr:colOff>409575</xdr:colOff>
                <xdr:row>0</xdr:row>
                <xdr:rowOff>295275</xdr:rowOff>
              </to>
            </anchor>
          </controlPr>
        </control>
      </mc:Choice>
      <mc:Fallback>
        <control shapeId="2050" r:id="rId20" name="CommandButton3"/>
      </mc:Fallback>
    </mc:AlternateContent>
    <mc:AlternateContent xmlns:mc="http://schemas.openxmlformats.org/markup-compatibility/2006">
      <mc:Choice Requires="x14">
        <control shapeId="2049" r:id="rId22" name="CommandButton2">
          <controlPr defaultSize="0" autoLine="0" r:id="rId23">
            <anchor moveWithCells="1">
              <from>
                <xdr:col>4</xdr:col>
                <xdr:colOff>419100</xdr:colOff>
                <xdr:row>1</xdr:row>
                <xdr:rowOff>19050</xdr:rowOff>
              </from>
              <to>
                <xdr:col>6</xdr:col>
                <xdr:colOff>485775</xdr:colOff>
                <xdr:row>1</xdr:row>
                <xdr:rowOff>342900</xdr:rowOff>
              </to>
            </anchor>
          </controlPr>
        </control>
      </mc:Choice>
      <mc:Fallback>
        <control shapeId="2049" r:id="rId22" name="CommandButton2"/>
      </mc:Fallback>
    </mc:AlternateContent>
    <mc:AlternateContent xmlns:mc="http://schemas.openxmlformats.org/markup-compatibility/2006">
      <mc:Choice Requires="x14">
        <control shapeId="2057" r:id="rId24" name="CommandButton1">
          <controlPr defaultSize="0" autoLine="0" autoPict="0" r:id="rId25">
            <anchor moveWithCells="1">
              <from>
                <xdr:col>10</xdr:col>
                <xdr:colOff>66675</xdr:colOff>
                <xdr:row>0</xdr:row>
                <xdr:rowOff>38100</xdr:rowOff>
              </from>
              <to>
                <xdr:col>10</xdr:col>
                <xdr:colOff>409575</xdr:colOff>
                <xdr:row>0</xdr:row>
                <xdr:rowOff>295275</xdr:rowOff>
              </to>
            </anchor>
          </controlPr>
        </control>
      </mc:Choice>
      <mc:Fallback>
        <control shapeId="2057" r:id="rId24" name="CommandButton1"/>
      </mc:Fallback>
    </mc:AlternateContent>
    <mc:AlternateContent xmlns:mc="http://schemas.openxmlformats.org/markup-compatibility/2006">
      <mc:Choice Requires="x14">
        <control shapeId="2063" r:id="rId26" name="CommandButton8">
          <controlPr defaultSize="0" autoLine="0" r:id="rId27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0</xdr:col>
                <xdr:colOff>638175</xdr:colOff>
                <xdr:row>1</xdr:row>
                <xdr:rowOff>342900</xdr:rowOff>
              </to>
            </anchor>
          </controlPr>
        </control>
      </mc:Choice>
      <mc:Fallback>
        <control shapeId="2063" r:id="rId26" name="CommandButton8"/>
      </mc:Fallback>
    </mc:AlternateContent>
    <mc:AlternateContent xmlns:mc="http://schemas.openxmlformats.org/markup-compatibility/2006">
      <mc:Choice Requires="x14">
        <control shapeId="2064" r:id="rId28" name="CommandButton10">
          <controlPr defaultSize="0" autoLine="0" autoPict="0" r:id="rId29">
            <anchor moveWithCells="1">
              <from>
                <xdr:col>12</xdr:col>
                <xdr:colOff>38100</xdr:colOff>
                <xdr:row>0</xdr:row>
                <xdr:rowOff>38100</xdr:rowOff>
              </from>
              <to>
                <xdr:col>12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2064" r:id="rId28" name="CommandButton10"/>
      </mc:Fallback>
    </mc:AlternateContent>
    <mc:AlternateContent xmlns:mc="http://schemas.openxmlformats.org/markup-compatibility/2006">
      <mc:Choice Requires="x14">
        <control shapeId="2065" r:id="rId30" name="CommandButton11">
          <controlPr defaultSize="0" autoLine="0" autoPict="0" r:id="rId31">
            <anchor moveWithCells="1">
              <from>
                <xdr:col>18</xdr:col>
                <xdr:colOff>19050</xdr:colOff>
                <xdr:row>1</xdr:row>
                <xdr:rowOff>19050</xdr:rowOff>
              </from>
              <to>
                <xdr:col>18</xdr:col>
                <xdr:colOff>561975</xdr:colOff>
                <xdr:row>1</xdr:row>
                <xdr:rowOff>342900</xdr:rowOff>
              </to>
            </anchor>
          </controlPr>
        </control>
      </mc:Choice>
      <mc:Fallback>
        <control shapeId="2065" r:id="rId30" name="CommandButton11"/>
      </mc:Fallback>
    </mc:AlternateContent>
    <mc:AlternateContent xmlns:mc="http://schemas.openxmlformats.org/markup-compatibility/2006">
      <mc:Choice Requires="x14">
        <control shapeId="2067" r:id="rId32" name="CommandButton12">
          <controlPr defaultSize="0" autoLine="0" r:id="rId33">
            <anchor moveWithCells="1">
              <from>
                <xdr:col>10</xdr:col>
                <xdr:colOff>171450</xdr:colOff>
                <xdr:row>1</xdr:row>
                <xdr:rowOff>19050</xdr:rowOff>
              </from>
              <to>
                <xdr:col>12</xdr:col>
                <xdr:colOff>428625</xdr:colOff>
                <xdr:row>1</xdr:row>
                <xdr:rowOff>342900</xdr:rowOff>
              </to>
            </anchor>
          </controlPr>
        </control>
      </mc:Choice>
      <mc:Fallback>
        <control shapeId="2067" r:id="rId32" name="CommandButton1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篩股系統"/>
  <dimension ref="A1:AB1543"/>
  <sheetViews>
    <sheetView zoomScale="80" zoomScaleNormal="80" workbookViewId="0">
      <pane xSplit="1" ySplit="1" topLeftCell="B20" activePane="bottomRight" state="frozen"/>
      <selection activeCell="D22" sqref="D22"/>
      <selection pane="topRight" activeCell="D22" sqref="D22"/>
      <selection pane="bottomLeft" activeCell="D22" sqref="D22"/>
      <selection pane="bottomRight" activeCell="B1" sqref="B1:Z1048576"/>
    </sheetView>
  </sheetViews>
  <sheetFormatPr defaultColWidth="9" defaultRowHeight="16.5"/>
  <cols>
    <col min="1" max="1" width="9.625" style="31" bestFit="1" customWidth="1"/>
    <col min="2" max="2" width="12.875" bestFit="1" customWidth="1"/>
    <col min="3" max="5" width="11" customWidth="1"/>
    <col min="6" max="6" width="13.375" bestFit="1" customWidth="1"/>
    <col min="7" max="10" width="11" customWidth="1"/>
    <col min="11" max="11" width="10.5" bestFit="1" customWidth="1"/>
    <col min="12" max="15" width="11" customWidth="1"/>
    <col min="16" max="18" width="12.125" customWidth="1"/>
    <col min="19" max="19" width="11.125" customWidth="1"/>
    <col min="20" max="26" width="12.125" customWidth="1"/>
    <col min="27" max="16384" width="9" style="29"/>
  </cols>
  <sheetData>
    <row r="1" spans="1:28" ht="33.75" customHeight="1">
      <c r="A1" s="28" t="s">
        <v>154</v>
      </c>
      <c r="B1" t="s">
        <v>2335</v>
      </c>
      <c r="N1">
        <v>0</v>
      </c>
      <c r="O1">
        <v>0</v>
      </c>
      <c r="P1">
        <v>18</v>
      </c>
      <c r="AB1" s="30"/>
    </row>
    <row r="2" spans="1:28">
      <c r="A2" s="31">
        <v>1101</v>
      </c>
      <c r="B2" s="62">
        <v>1301</v>
      </c>
    </row>
    <row r="3" spans="1:28">
      <c r="A3" s="31">
        <v>1103</v>
      </c>
      <c r="B3" s="62">
        <v>1305</v>
      </c>
      <c r="D3" s="32" t="s">
        <v>2327</v>
      </c>
      <c r="E3" s="32"/>
      <c r="F3" s="32"/>
      <c r="G3" s="32"/>
      <c r="H3" s="32"/>
    </row>
    <row r="4" spans="1:28">
      <c r="A4" s="31">
        <v>1104</v>
      </c>
      <c r="B4" s="62">
        <v>1319</v>
      </c>
      <c r="D4" s="32" t="s">
        <v>2338</v>
      </c>
      <c r="E4" s="32"/>
      <c r="F4" s="32"/>
      <c r="G4" s="32"/>
      <c r="H4" s="32"/>
    </row>
    <row r="5" spans="1:28">
      <c r="A5" s="31">
        <v>1108</v>
      </c>
      <c r="B5" s="62">
        <v>1337</v>
      </c>
      <c r="D5" s="32" t="s">
        <v>2339</v>
      </c>
      <c r="E5" s="32"/>
      <c r="F5" s="32"/>
      <c r="G5" s="32"/>
      <c r="H5" s="32"/>
    </row>
    <row r="6" spans="1:28">
      <c r="A6" s="31">
        <v>1109</v>
      </c>
      <c r="B6" s="62">
        <v>1339</v>
      </c>
      <c r="D6" s="32" t="s">
        <v>2340</v>
      </c>
      <c r="E6" s="32"/>
      <c r="F6" s="32"/>
      <c r="G6" s="32"/>
      <c r="H6" s="32"/>
    </row>
    <row r="7" spans="1:28">
      <c r="A7" s="31">
        <v>1110</v>
      </c>
      <c r="B7" s="62">
        <v>1340</v>
      </c>
      <c r="D7" s="32" t="s">
        <v>2341</v>
      </c>
      <c r="E7" s="32"/>
      <c r="F7" s="32"/>
      <c r="G7" s="32"/>
      <c r="H7" s="32"/>
    </row>
    <row r="8" spans="1:28">
      <c r="A8" s="31">
        <v>1201</v>
      </c>
      <c r="B8" s="62">
        <v>1455</v>
      </c>
      <c r="D8" s="32" t="s">
        <v>2342</v>
      </c>
      <c r="E8" s="32"/>
      <c r="F8" s="32"/>
      <c r="G8" s="32"/>
      <c r="H8" s="32"/>
    </row>
    <row r="9" spans="1:28">
      <c r="A9" s="31">
        <v>1203</v>
      </c>
      <c r="B9" s="62">
        <v>1464</v>
      </c>
      <c r="D9" s="32" t="s">
        <v>2343</v>
      </c>
      <c r="E9" s="32"/>
      <c r="F9" s="32"/>
      <c r="G9" s="32"/>
      <c r="H9" s="32"/>
    </row>
    <row r="10" spans="1:28">
      <c r="A10" s="31">
        <v>1213</v>
      </c>
      <c r="B10" s="62">
        <v>1537</v>
      </c>
      <c r="D10" s="32" t="s">
        <v>2344</v>
      </c>
      <c r="E10" s="32"/>
      <c r="F10" s="32"/>
      <c r="G10" s="32"/>
      <c r="H10" s="32"/>
    </row>
    <row r="11" spans="1:28">
      <c r="A11" s="31">
        <v>1215</v>
      </c>
      <c r="B11" s="62">
        <v>1565</v>
      </c>
      <c r="D11" s="32" t="s">
        <v>2345</v>
      </c>
      <c r="E11" s="32"/>
      <c r="F11" s="32"/>
      <c r="G11" s="32"/>
      <c r="H11" s="32"/>
    </row>
    <row r="12" spans="1:28">
      <c r="A12" s="31">
        <v>1216</v>
      </c>
      <c r="B12" s="62">
        <v>1599</v>
      </c>
      <c r="D12" s="32" t="s">
        <v>2346</v>
      </c>
      <c r="E12" s="32"/>
      <c r="F12" s="32"/>
      <c r="G12" s="32"/>
      <c r="H12" s="32"/>
    </row>
    <row r="13" spans="1:28">
      <c r="A13" s="31">
        <v>1217</v>
      </c>
      <c r="B13" s="62">
        <v>1714</v>
      </c>
      <c r="D13" s="32" t="s">
        <v>2347</v>
      </c>
      <c r="E13" s="32"/>
      <c r="F13" s="32"/>
      <c r="G13" s="32"/>
      <c r="H13" s="32"/>
    </row>
    <row r="14" spans="1:28">
      <c r="A14" s="31">
        <v>1218</v>
      </c>
      <c r="B14" s="62">
        <v>1781</v>
      </c>
      <c r="D14" s="32"/>
      <c r="E14" s="32"/>
      <c r="F14" s="32"/>
      <c r="G14" s="32"/>
      <c r="H14" s="32"/>
    </row>
    <row r="15" spans="1:28">
      <c r="A15" s="31">
        <v>1219</v>
      </c>
      <c r="B15" s="62">
        <v>1799</v>
      </c>
      <c r="D15" s="32" t="s">
        <v>2364</v>
      </c>
      <c r="E15" s="32"/>
      <c r="F15" s="32"/>
      <c r="G15" s="32"/>
      <c r="H15" s="32"/>
    </row>
    <row r="16" spans="1:28">
      <c r="A16" s="31">
        <v>1220</v>
      </c>
      <c r="B16" s="62">
        <v>1802</v>
      </c>
      <c r="D16" s="32"/>
      <c r="E16" s="32"/>
      <c r="F16" s="32"/>
      <c r="G16" s="32"/>
      <c r="H16" s="32"/>
    </row>
    <row r="17" spans="1:8">
      <c r="A17" s="31">
        <v>1225</v>
      </c>
      <c r="B17" s="62">
        <v>2066</v>
      </c>
      <c r="D17" s="32" t="s">
        <v>2363</v>
      </c>
      <c r="E17" s="32"/>
      <c r="F17" s="32"/>
      <c r="G17" s="32"/>
      <c r="H17" s="32"/>
    </row>
    <row r="18" spans="1:8">
      <c r="A18" s="31">
        <v>1227</v>
      </c>
      <c r="B18" s="62">
        <v>2231</v>
      </c>
      <c r="D18" s="32" t="s">
        <v>2348</v>
      </c>
      <c r="E18" s="32"/>
      <c r="F18" s="32"/>
      <c r="G18" s="32"/>
      <c r="H18" s="32"/>
    </row>
    <row r="19" spans="1:8">
      <c r="A19" s="31">
        <v>1229</v>
      </c>
      <c r="B19" s="62">
        <v>2301</v>
      </c>
      <c r="D19" s="32" t="s">
        <v>2349</v>
      </c>
      <c r="E19" s="32"/>
      <c r="F19" s="32"/>
      <c r="G19" s="32"/>
      <c r="H19" s="32"/>
    </row>
    <row r="20" spans="1:8">
      <c r="A20" s="31">
        <v>1231</v>
      </c>
      <c r="B20" s="62">
        <v>2328</v>
      </c>
      <c r="D20" s="32" t="s">
        <v>2350</v>
      </c>
      <c r="E20" s="32"/>
      <c r="F20" s="32"/>
      <c r="G20" s="32"/>
      <c r="H20" s="32"/>
    </row>
    <row r="21" spans="1:8">
      <c r="A21" s="31">
        <v>1232</v>
      </c>
      <c r="B21" s="62">
        <v>2331</v>
      </c>
      <c r="D21" s="32"/>
      <c r="E21" s="32"/>
      <c r="F21" s="32"/>
      <c r="G21" s="32"/>
      <c r="H21" s="32"/>
    </row>
    <row r="22" spans="1:8">
      <c r="A22" s="31">
        <v>1233</v>
      </c>
      <c r="B22" s="62">
        <v>2340</v>
      </c>
      <c r="D22" s="32" t="s">
        <v>2351</v>
      </c>
      <c r="E22" s="32"/>
      <c r="F22" s="32"/>
      <c r="G22" s="32"/>
      <c r="H22" s="32"/>
    </row>
    <row r="23" spans="1:8">
      <c r="A23" s="31">
        <v>1234</v>
      </c>
      <c r="B23" s="62">
        <v>2344</v>
      </c>
      <c r="D23" s="32" t="s">
        <v>239</v>
      </c>
      <c r="E23" s="32" t="s">
        <v>2328</v>
      </c>
      <c r="F23" s="32" t="s">
        <v>1948</v>
      </c>
      <c r="G23" s="32" t="s">
        <v>2336</v>
      </c>
      <c r="H23" s="32" t="s">
        <v>2337</v>
      </c>
    </row>
    <row r="24" spans="1:8">
      <c r="A24" s="31">
        <v>1235</v>
      </c>
      <c r="B24" s="62">
        <v>2362</v>
      </c>
      <c r="D24" s="51">
        <v>42320</v>
      </c>
      <c r="E24" s="32">
        <v>7.77</v>
      </c>
      <c r="F24" s="32">
        <v>0.05</v>
      </c>
      <c r="G24" s="32">
        <v>25</v>
      </c>
      <c r="H24" s="32">
        <v>-2</v>
      </c>
    </row>
    <row r="25" spans="1:8">
      <c r="A25" s="31">
        <v>1236</v>
      </c>
      <c r="B25" s="62">
        <v>2376</v>
      </c>
      <c r="D25" s="51">
        <v>42319</v>
      </c>
      <c r="E25" s="32">
        <v>7.72</v>
      </c>
      <c r="F25" s="32">
        <v>-0.11</v>
      </c>
      <c r="G25" s="32">
        <v>16</v>
      </c>
      <c r="H25" s="32">
        <v>-1</v>
      </c>
    </row>
    <row r="26" spans="1:8">
      <c r="A26" s="31">
        <v>1256</v>
      </c>
      <c r="B26" s="62">
        <v>2377</v>
      </c>
      <c r="D26" s="51">
        <v>42318</v>
      </c>
      <c r="E26" s="32">
        <v>7.83</v>
      </c>
      <c r="F26" s="32">
        <v>-0.32</v>
      </c>
      <c r="G26" s="32">
        <v>7</v>
      </c>
      <c r="H26" s="32">
        <v>4</v>
      </c>
    </row>
    <row r="27" spans="1:8">
      <c r="A27" s="31">
        <v>1258</v>
      </c>
      <c r="B27" s="62">
        <v>2387</v>
      </c>
      <c r="D27" s="51">
        <v>42317</v>
      </c>
      <c r="E27" s="32">
        <v>8.15</v>
      </c>
      <c r="F27" s="32">
        <v>0.02</v>
      </c>
      <c r="G27" s="32">
        <v>11</v>
      </c>
      <c r="H27" s="32">
        <v>2</v>
      </c>
    </row>
    <row r="28" spans="1:8">
      <c r="A28" s="31">
        <v>1259</v>
      </c>
      <c r="B28" s="62">
        <v>2483</v>
      </c>
      <c r="D28" s="51">
        <v>42314</v>
      </c>
      <c r="E28" s="32">
        <v>8.1300000000000008</v>
      </c>
      <c r="F28" s="32">
        <v>-0.17</v>
      </c>
      <c r="G28" s="32">
        <v>1</v>
      </c>
      <c r="H28" s="32">
        <v>0</v>
      </c>
    </row>
    <row r="29" spans="1:8">
      <c r="A29" s="31">
        <v>1262</v>
      </c>
      <c r="B29" s="62">
        <v>2493</v>
      </c>
      <c r="D29" s="51">
        <v>42313</v>
      </c>
      <c r="E29" s="32">
        <v>8.3000000000000007</v>
      </c>
      <c r="F29" s="32">
        <v>0.05</v>
      </c>
      <c r="G29" s="32">
        <v>19</v>
      </c>
      <c r="H29" s="32">
        <v>7</v>
      </c>
    </row>
    <row r="30" spans="1:8">
      <c r="A30" s="31">
        <v>1264</v>
      </c>
      <c r="B30" s="62">
        <v>2515</v>
      </c>
      <c r="D30" s="51">
        <v>42312</v>
      </c>
      <c r="E30" s="32">
        <v>8.25</v>
      </c>
      <c r="F30" s="32">
        <v>0.13</v>
      </c>
      <c r="G30" s="32">
        <v>32</v>
      </c>
      <c r="H30" s="32">
        <v>-5</v>
      </c>
    </row>
    <row r="31" spans="1:8">
      <c r="A31" s="31">
        <v>1301</v>
      </c>
      <c r="B31" s="62">
        <v>2548</v>
      </c>
      <c r="D31" s="51">
        <v>42311</v>
      </c>
      <c r="E31" s="32">
        <v>8.1199999999999992</v>
      </c>
      <c r="F31" s="32">
        <v>-0.18</v>
      </c>
      <c r="G31" s="32">
        <v>16</v>
      </c>
      <c r="H31" s="32">
        <v>1</v>
      </c>
    </row>
    <row r="32" spans="1:8">
      <c r="A32" s="31">
        <v>1303</v>
      </c>
      <c r="B32" s="62">
        <v>2705</v>
      </c>
      <c r="D32" s="51">
        <v>42310</v>
      </c>
      <c r="E32" s="32">
        <v>8.3000000000000007</v>
      </c>
      <c r="F32" s="32">
        <v>0.05</v>
      </c>
      <c r="G32" s="32">
        <v>28</v>
      </c>
      <c r="H32" s="32">
        <v>0</v>
      </c>
    </row>
    <row r="33" spans="1:8">
      <c r="A33" s="31">
        <v>1304</v>
      </c>
      <c r="B33" s="62">
        <v>2707</v>
      </c>
      <c r="D33" s="51">
        <v>42307</v>
      </c>
      <c r="E33" s="32">
        <v>8.25</v>
      </c>
      <c r="F33" s="32">
        <v>0.02</v>
      </c>
      <c r="G33" s="32">
        <v>10</v>
      </c>
      <c r="H33" s="32">
        <v>1</v>
      </c>
    </row>
    <row r="34" spans="1:8">
      <c r="A34" s="31">
        <v>1305</v>
      </c>
      <c r="B34" s="62">
        <v>2723</v>
      </c>
      <c r="D34" s="32" t="s">
        <v>239</v>
      </c>
      <c r="E34" s="32" t="s">
        <v>2352</v>
      </c>
      <c r="F34" s="32" t="s">
        <v>2353</v>
      </c>
      <c r="G34" s="32" t="s">
        <v>2354</v>
      </c>
      <c r="H34" s="32" t="s">
        <v>2355</v>
      </c>
    </row>
    <row r="35" spans="1:8">
      <c r="A35" s="31">
        <v>1307</v>
      </c>
      <c r="B35" s="62">
        <v>2856</v>
      </c>
      <c r="D35" s="51">
        <v>42320</v>
      </c>
      <c r="E35" s="32">
        <v>-3</v>
      </c>
      <c r="F35" s="32">
        <v>0</v>
      </c>
      <c r="G35" s="32">
        <v>0</v>
      </c>
      <c r="H35" s="32">
        <v>1</v>
      </c>
    </row>
    <row r="36" spans="1:8">
      <c r="A36" s="31">
        <v>1308</v>
      </c>
      <c r="B36" s="62">
        <v>2885</v>
      </c>
      <c r="D36" s="51">
        <v>42319</v>
      </c>
      <c r="E36" s="32">
        <v>0</v>
      </c>
      <c r="F36" s="32">
        <v>0</v>
      </c>
      <c r="G36" s="32">
        <v>0</v>
      </c>
      <c r="H36" s="32">
        <v>0</v>
      </c>
    </row>
    <row r="37" spans="1:8">
      <c r="A37" s="31">
        <v>1309</v>
      </c>
      <c r="B37" s="62">
        <v>3004</v>
      </c>
      <c r="D37" s="51">
        <v>42318</v>
      </c>
      <c r="E37" s="32">
        <v>0</v>
      </c>
      <c r="F37" s="32">
        <v>0</v>
      </c>
      <c r="G37" s="32">
        <v>0</v>
      </c>
      <c r="H37" s="32">
        <v>0</v>
      </c>
    </row>
    <row r="38" spans="1:8">
      <c r="A38" s="31">
        <v>1310</v>
      </c>
      <c r="B38" s="62">
        <v>3014</v>
      </c>
      <c r="D38" s="51">
        <v>42317</v>
      </c>
      <c r="E38" s="32">
        <v>0</v>
      </c>
      <c r="F38" s="32">
        <v>0</v>
      </c>
      <c r="G38" s="32">
        <v>0</v>
      </c>
      <c r="H38" s="32">
        <v>0</v>
      </c>
    </row>
    <row r="39" spans="1:8">
      <c r="A39" s="31">
        <v>1312</v>
      </c>
      <c r="B39" s="62">
        <v>3017</v>
      </c>
      <c r="D39" s="51">
        <v>42314</v>
      </c>
      <c r="E39" s="32">
        <v>0</v>
      </c>
      <c r="F39" s="32">
        <v>0</v>
      </c>
      <c r="G39" s="32">
        <v>0</v>
      </c>
      <c r="H39" s="32">
        <v>0</v>
      </c>
    </row>
    <row r="40" spans="1:8">
      <c r="A40" s="31">
        <v>1313</v>
      </c>
      <c r="B40" s="62">
        <v>3031</v>
      </c>
      <c r="D40" s="51">
        <v>42313</v>
      </c>
      <c r="E40" s="32">
        <v>0</v>
      </c>
      <c r="F40" s="32">
        <v>0</v>
      </c>
      <c r="G40" s="32">
        <v>0</v>
      </c>
      <c r="H40" s="32">
        <v>-1</v>
      </c>
    </row>
    <row r="41" spans="1:8">
      <c r="A41" s="31">
        <v>1314</v>
      </c>
      <c r="B41" s="62">
        <v>3050</v>
      </c>
      <c r="D41" s="51">
        <v>42312</v>
      </c>
      <c r="E41" s="32">
        <v>0</v>
      </c>
      <c r="F41" s="32">
        <v>0</v>
      </c>
      <c r="G41" s="32">
        <v>0</v>
      </c>
      <c r="H41" s="32">
        <v>-4</v>
      </c>
    </row>
    <row r="42" spans="1:8">
      <c r="A42" s="31">
        <v>1315</v>
      </c>
      <c r="B42" s="62">
        <v>3060</v>
      </c>
      <c r="D42" s="51">
        <v>42311</v>
      </c>
      <c r="E42" s="32">
        <v>0</v>
      </c>
      <c r="F42" s="32">
        <v>0</v>
      </c>
      <c r="G42" s="32">
        <v>0</v>
      </c>
      <c r="H42" s="32">
        <v>-2</v>
      </c>
    </row>
    <row r="43" spans="1:8">
      <c r="A43" s="31">
        <v>1316</v>
      </c>
      <c r="B43" s="62">
        <v>3122</v>
      </c>
      <c r="D43" s="51">
        <v>42310</v>
      </c>
      <c r="E43" s="32">
        <v>0</v>
      </c>
      <c r="F43" s="32">
        <v>0</v>
      </c>
      <c r="G43" s="32">
        <v>0</v>
      </c>
      <c r="H43" s="32">
        <v>2</v>
      </c>
    </row>
    <row r="44" spans="1:8">
      <c r="A44" s="31">
        <v>1319</v>
      </c>
      <c r="B44" s="62">
        <v>3152</v>
      </c>
      <c r="D44" s="51">
        <v>42307</v>
      </c>
      <c r="E44" s="32">
        <v>0</v>
      </c>
      <c r="F44" s="32">
        <v>0</v>
      </c>
      <c r="G44" s="32">
        <v>0</v>
      </c>
      <c r="H44" s="32">
        <v>1</v>
      </c>
    </row>
    <row r="45" spans="1:8">
      <c r="A45" s="31">
        <v>1321</v>
      </c>
      <c r="B45" s="62">
        <v>3169</v>
      </c>
      <c r="D45" s="32" t="s">
        <v>239</v>
      </c>
      <c r="E45" s="32" t="s">
        <v>1935</v>
      </c>
      <c r="F45" s="32" t="s">
        <v>2356</v>
      </c>
      <c r="G45" s="32" t="s">
        <v>2357</v>
      </c>
      <c r="H45" s="32" t="s">
        <v>2358</v>
      </c>
    </row>
    <row r="46" spans="1:8">
      <c r="A46" s="31">
        <v>1323</v>
      </c>
      <c r="B46" s="62">
        <v>3202</v>
      </c>
      <c r="D46" s="51">
        <v>42320</v>
      </c>
      <c r="E46" s="32">
        <v>0</v>
      </c>
      <c r="F46" s="32">
        <v>0</v>
      </c>
      <c r="G46" s="32">
        <v>0</v>
      </c>
      <c r="H46" s="32">
        <v>0</v>
      </c>
    </row>
    <row r="47" spans="1:8">
      <c r="A47" s="31">
        <v>1324</v>
      </c>
      <c r="B47" s="62">
        <v>3284</v>
      </c>
      <c r="D47" s="51">
        <v>42319</v>
      </c>
      <c r="E47" s="32">
        <v>-1</v>
      </c>
      <c r="F47" s="32">
        <v>0</v>
      </c>
      <c r="G47" s="32">
        <v>0</v>
      </c>
      <c r="H47" s="32">
        <v>0</v>
      </c>
    </row>
    <row r="48" spans="1:8">
      <c r="A48" s="31">
        <v>1325</v>
      </c>
      <c r="B48" s="62">
        <v>3379</v>
      </c>
      <c r="D48" s="51">
        <v>42318</v>
      </c>
      <c r="E48" s="32">
        <v>4</v>
      </c>
      <c r="F48" s="32">
        <v>0</v>
      </c>
      <c r="G48" s="32">
        <v>0</v>
      </c>
      <c r="H48" s="32">
        <v>0</v>
      </c>
    </row>
    <row r="49" spans="1:8">
      <c r="A49" s="31">
        <v>1326</v>
      </c>
      <c r="B49" s="62">
        <v>3441</v>
      </c>
      <c r="D49" s="51">
        <v>42317</v>
      </c>
      <c r="E49" s="32">
        <v>2</v>
      </c>
      <c r="F49" s="32">
        <v>0</v>
      </c>
      <c r="G49" s="32">
        <v>0</v>
      </c>
      <c r="H49" s="32">
        <v>0</v>
      </c>
    </row>
    <row r="50" spans="1:8">
      <c r="A50" s="31">
        <v>1333</v>
      </c>
      <c r="B50" s="62">
        <v>3450</v>
      </c>
      <c r="D50" s="51">
        <v>42314</v>
      </c>
      <c r="E50" s="32">
        <v>0</v>
      </c>
      <c r="F50" s="32">
        <v>0</v>
      </c>
      <c r="G50" s="32">
        <v>0</v>
      </c>
      <c r="H50" s="32">
        <v>0</v>
      </c>
    </row>
    <row r="51" spans="1:8">
      <c r="A51" s="31">
        <v>1336</v>
      </c>
      <c r="B51" s="62">
        <v>3494</v>
      </c>
      <c r="D51" s="51">
        <v>42313</v>
      </c>
      <c r="E51" s="32">
        <v>8</v>
      </c>
      <c r="F51" s="32">
        <v>0</v>
      </c>
      <c r="G51" s="32">
        <v>2</v>
      </c>
      <c r="H51" s="32">
        <v>0</v>
      </c>
    </row>
    <row r="52" spans="1:8">
      <c r="A52" s="31">
        <v>1337</v>
      </c>
      <c r="B52" s="62">
        <v>3499</v>
      </c>
      <c r="D52" s="51">
        <v>42312</v>
      </c>
      <c r="E52" s="32">
        <v>-1</v>
      </c>
      <c r="F52" s="32">
        <v>0</v>
      </c>
      <c r="G52" s="32">
        <v>0</v>
      </c>
      <c r="H52" s="32">
        <v>0</v>
      </c>
    </row>
    <row r="53" spans="1:8">
      <c r="A53" s="31">
        <v>1338</v>
      </c>
      <c r="B53" s="62">
        <v>3528</v>
      </c>
      <c r="D53" s="51">
        <v>42311</v>
      </c>
      <c r="E53" s="32">
        <v>3</v>
      </c>
      <c r="F53" s="32">
        <v>0</v>
      </c>
      <c r="G53" s="32">
        <v>1</v>
      </c>
      <c r="H53" s="32">
        <v>0</v>
      </c>
    </row>
    <row r="54" spans="1:8">
      <c r="A54" s="31">
        <v>1339</v>
      </c>
      <c r="B54" s="62">
        <v>3535</v>
      </c>
      <c r="D54" s="51">
        <v>42310</v>
      </c>
      <c r="E54" s="32">
        <v>-2</v>
      </c>
      <c r="F54" s="32">
        <v>0</v>
      </c>
      <c r="G54" s="32">
        <v>6</v>
      </c>
      <c r="H54" s="32">
        <v>0</v>
      </c>
    </row>
    <row r="55" spans="1:8">
      <c r="A55" s="31">
        <v>1340</v>
      </c>
      <c r="B55" s="62">
        <v>3552</v>
      </c>
      <c r="D55" s="51">
        <v>42307</v>
      </c>
      <c r="E55" s="32">
        <v>0</v>
      </c>
      <c r="F55" s="32">
        <v>0</v>
      </c>
      <c r="G55" s="32">
        <v>1</v>
      </c>
      <c r="H55" s="32">
        <v>0</v>
      </c>
    </row>
    <row r="56" spans="1:8">
      <c r="A56" s="31">
        <v>1402</v>
      </c>
      <c r="B56" s="62">
        <v>3556</v>
      </c>
      <c r="D56" s="32" t="s">
        <v>2359</v>
      </c>
      <c r="E56" s="32"/>
      <c r="F56" s="32"/>
      <c r="G56" s="32"/>
      <c r="H56" s="32"/>
    </row>
    <row r="57" spans="1:8">
      <c r="A57" s="31">
        <v>1409</v>
      </c>
      <c r="B57" s="62">
        <v>3605</v>
      </c>
      <c r="D57" s="32"/>
      <c r="E57" s="32"/>
      <c r="F57" s="32"/>
      <c r="G57" s="32"/>
      <c r="H57" s="32"/>
    </row>
    <row r="58" spans="1:8">
      <c r="A58" s="31">
        <v>1410</v>
      </c>
      <c r="B58" s="62">
        <v>3663</v>
      </c>
      <c r="D58" s="32" t="s">
        <v>2360</v>
      </c>
      <c r="E58" s="32"/>
      <c r="F58" s="32"/>
      <c r="G58" s="32"/>
      <c r="H58" s="32"/>
    </row>
    <row r="59" spans="1:8">
      <c r="A59" s="31">
        <v>1413</v>
      </c>
      <c r="B59" s="62">
        <v>3693</v>
      </c>
      <c r="D59" s="32" t="s">
        <v>2361</v>
      </c>
      <c r="E59" s="32"/>
      <c r="F59" s="32"/>
      <c r="G59" s="32"/>
      <c r="H59" s="32"/>
    </row>
    <row r="60" spans="1:8">
      <c r="A60" s="31">
        <v>1414</v>
      </c>
      <c r="B60" s="62">
        <v>4104</v>
      </c>
      <c r="D60" s="32" t="s">
        <v>2362</v>
      </c>
      <c r="E60" s="32"/>
      <c r="F60" s="32"/>
      <c r="G60" s="32"/>
      <c r="H60" s="32"/>
    </row>
    <row r="61" spans="1:8">
      <c r="A61" s="31">
        <v>1416</v>
      </c>
      <c r="B61" s="62">
        <v>4137</v>
      </c>
    </row>
    <row r="62" spans="1:8">
      <c r="A62" s="31">
        <v>1417</v>
      </c>
      <c r="B62" s="62">
        <v>4141</v>
      </c>
    </row>
    <row r="63" spans="1:8">
      <c r="A63" s="31">
        <v>1418</v>
      </c>
      <c r="B63" s="62">
        <v>4173</v>
      </c>
    </row>
    <row r="64" spans="1:8">
      <c r="A64" s="31">
        <v>1419</v>
      </c>
      <c r="B64" s="62">
        <v>4401</v>
      </c>
    </row>
    <row r="65" spans="1:2">
      <c r="A65" s="31">
        <v>1423</v>
      </c>
      <c r="B65" s="62">
        <v>4725</v>
      </c>
    </row>
    <row r="66" spans="1:2">
      <c r="A66" s="31">
        <v>1432</v>
      </c>
      <c r="B66" s="62">
        <v>4934</v>
      </c>
    </row>
    <row r="67" spans="1:2">
      <c r="A67" s="31">
        <v>1434</v>
      </c>
      <c r="B67" s="62">
        <v>4947</v>
      </c>
    </row>
    <row r="68" spans="1:2">
      <c r="A68" s="31">
        <v>1435</v>
      </c>
      <c r="B68" s="62">
        <v>4960</v>
      </c>
    </row>
    <row r="69" spans="1:2">
      <c r="A69" s="31">
        <v>1436</v>
      </c>
      <c r="B69" s="62">
        <v>4991</v>
      </c>
    </row>
    <row r="70" spans="1:2">
      <c r="A70" s="31">
        <v>1437</v>
      </c>
      <c r="B70" s="62">
        <v>5210</v>
      </c>
    </row>
    <row r="71" spans="1:2">
      <c r="A71" s="31">
        <v>1438</v>
      </c>
      <c r="B71" s="62">
        <v>5309</v>
      </c>
    </row>
    <row r="72" spans="1:2">
      <c r="A72" s="31">
        <v>1439</v>
      </c>
      <c r="B72" s="62">
        <v>5347</v>
      </c>
    </row>
    <row r="73" spans="1:2">
      <c r="A73" s="31">
        <v>1440</v>
      </c>
      <c r="B73" s="62">
        <v>5349</v>
      </c>
    </row>
    <row r="74" spans="1:2">
      <c r="A74" s="31">
        <v>1441</v>
      </c>
      <c r="B74" s="62">
        <v>5371</v>
      </c>
    </row>
    <row r="75" spans="1:2">
      <c r="A75" s="31">
        <v>1442</v>
      </c>
      <c r="B75" s="62">
        <v>5392</v>
      </c>
    </row>
    <row r="76" spans="1:2">
      <c r="A76" s="31">
        <v>1443</v>
      </c>
      <c r="B76" s="62">
        <v>5536</v>
      </c>
    </row>
    <row r="77" spans="1:2">
      <c r="A77" s="31">
        <v>1444</v>
      </c>
      <c r="B77" s="62">
        <v>6005</v>
      </c>
    </row>
    <row r="78" spans="1:2">
      <c r="A78" s="31">
        <v>1445</v>
      </c>
      <c r="B78" s="62">
        <v>6114</v>
      </c>
    </row>
    <row r="79" spans="1:2">
      <c r="A79" s="31">
        <v>1446</v>
      </c>
      <c r="B79" s="62">
        <v>6142</v>
      </c>
    </row>
    <row r="80" spans="1:2">
      <c r="A80" s="31">
        <v>1447</v>
      </c>
      <c r="B80" s="62">
        <v>6196</v>
      </c>
    </row>
    <row r="81" spans="1:2">
      <c r="A81" s="31">
        <v>1449</v>
      </c>
      <c r="B81" s="62">
        <v>6266</v>
      </c>
    </row>
    <row r="82" spans="1:2">
      <c r="A82" s="31">
        <v>1451</v>
      </c>
      <c r="B82" s="62">
        <v>6278</v>
      </c>
    </row>
    <row r="83" spans="1:2">
      <c r="A83" s="31">
        <v>1452</v>
      </c>
      <c r="B83" s="62">
        <v>6282</v>
      </c>
    </row>
    <row r="84" spans="1:2">
      <c r="A84" s="31">
        <v>1453</v>
      </c>
      <c r="B84" s="62">
        <v>6294</v>
      </c>
    </row>
    <row r="85" spans="1:2">
      <c r="A85" s="31">
        <v>1454</v>
      </c>
      <c r="B85" s="62">
        <v>6404</v>
      </c>
    </row>
    <row r="86" spans="1:2">
      <c r="A86" s="31">
        <v>1455</v>
      </c>
      <c r="B86" s="62">
        <v>6409</v>
      </c>
    </row>
    <row r="87" spans="1:2">
      <c r="A87" s="31">
        <v>1456</v>
      </c>
      <c r="B87" s="62">
        <v>6414</v>
      </c>
    </row>
    <row r="88" spans="1:2">
      <c r="A88" s="31">
        <v>1457</v>
      </c>
      <c r="B88" s="62">
        <v>6426</v>
      </c>
    </row>
    <row r="89" spans="1:2">
      <c r="A89" s="31">
        <v>1459</v>
      </c>
      <c r="B89" s="62">
        <v>8043</v>
      </c>
    </row>
    <row r="90" spans="1:2">
      <c r="A90" s="31">
        <v>1460</v>
      </c>
      <c r="B90" s="62">
        <v>8049</v>
      </c>
    </row>
    <row r="91" spans="1:2">
      <c r="A91" s="31">
        <v>1463</v>
      </c>
      <c r="B91" s="62">
        <v>8064</v>
      </c>
    </row>
    <row r="92" spans="1:2">
      <c r="A92" s="31">
        <v>1464</v>
      </c>
      <c r="B92" s="62">
        <v>8150</v>
      </c>
    </row>
    <row r="93" spans="1:2">
      <c r="A93" s="31">
        <v>1465</v>
      </c>
      <c r="B93" s="62">
        <v>8182</v>
      </c>
    </row>
    <row r="94" spans="1:2">
      <c r="A94" s="31">
        <v>1466</v>
      </c>
      <c r="B94" s="62">
        <v>8249</v>
      </c>
    </row>
    <row r="95" spans="1:2">
      <c r="A95" s="31">
        <v>1467</v>
      </c>
      <c r="B95" s="62">
        <v>8403</v>
      </c>
    </row>
    <row r="96" spans="1:2">
      <c r="A96" s="31">
        <v>1468</v>
      </c>
      <c r="B96" s="62">
        <v>8420</v>
      </c>
    </row>
    <row r="97" spans="1:2">
      <c r="A97" s="31">
        <v>1469</v>
      </c>
      <c r="B97" s="62">
        <v>9943</v>
      </c>
    </row>
    <row r="98" spans="1:2">
      <c r="A98" s="31">
        <v>1470</v>
      </c>
      <c r="B98" s="62">
        <v>9945</v>
      </c>
    </row>
    <row r="99" spans="1:2">
      <c r="A99" s="31">
        <v>1471</v>
      </c>
    </row>
    <row r="100" spans="1:2">
      <c r="A100" s="31">
        <v>1472</v>
      </c>
    </row>
    <row r="101" spans="1:2">
      <c r="A101" s="31">
        <v>1473</v>
      </c>
    </row>
    <row r="102" spans="1:2">
      <c r="A102" s="31">
        <v>1474</v>
      </c>
    </row>
    <row r="103" spans="1:2">
      <c r="A103" s="31">
        <v>1475</v>
      </c>
    </row>
    <row r="104" spans="1:2">
      <c r="A104" s="31">
        <v>1476</v>
      </c>
    </row>
    <row r="105" spans="1:2">
      <c r="A105" s="31">
        <v>1477</v>
      </c>
    </row>
    <row r="106" spans="1:2">
      <c r="A106" s="31">
        <v>1503</v>
      </c>
    </row>
    <row r="107" spans="1:2">
      <c r="A107" s="31">
        <v>1504</v>
      </c>
    </row>
    <row r="108" spans="1:2">
      <c r="A108" s="31">
        <v>1506</v>
      </c>
    </row>
    <row r="109" spans="1:2">
      <c r="A109" s="31">
        <v>1507</v>
      </c>
    </row>
    <row r="110" spans="1:2">
      <c r="A110" s="31">
        <v>1512</v>
      </c>
    </row>
    <row r="111" spans="1:2">
      <c r="A111" s="31">
        <v>1513</v>
      </c>
    </row>
    <row r="112" spans="1:2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 display="1301"/>
    <hyperlink ref="B3" r:id="rId8" display="1305"/>
    <hyperlink ref="B4" r:id="rId9" display="1319"/>
    <hyperlink ref="B5" r:id="rId10" display="1337"/>
    <hyperlink ref="B6" r:id="rId11" display="1339"/>
    <hyperlink ref="B7" r:id="rId12" display="1340"/>
    <hyperlink ref="B8" r:id="rId13" display="1455"/>
    <hyperlink ref="B9" r:id="rId14" display="1464"/>
    <hyperlink ref="B10" r:id="rId15" display="1537"/>
    <hyperlink ref="B11" r:id="rId16" display="1565"/>
    <hyperlink ref="B12" r:id="rId17" display="1599"/>
    <hyperlink ref="B13" r:id="rId18" display="1714"/>
    <hyperlink ref="B14" r:id="rId19" display="1781"/>
    <hyperlink ref="B15" r:id="rId20" display="1799"/>
    <hyperlink ref="B16" r:id="rId21" display="1802"/>
    <hyperlink ref="B17" r:id="rId22" display="2066"/>
    <hyperlink ref="B18" r:id="rId23" display="2231"/>
    <hyperlink ref="B19" r:id="rId24" display="2301"/>
    <hyperlink ref="B20" r:id="rId25" display="2328"/>
    <hyperlink ref="B21" r:id="rId26" display="2331"/>
    <hyperlink ref="B22" r:id="rId27" display="2340"/>
    <hyperlink ref="B23" r:id="rId28" display="2344"/>
    <hyperlink ref="B24" r:id="rId29" display="2362"/>
    <hyperlink ref="B25" r:id="rId30" display="2376"/>
    <hyperlink ref="B26" r:id="rId31" display="2377"/>
    <hyperlink ref="B27" r:id="rId32" display="2387"/>
    <hyperlink ref="B28" r:id="rId33" display="2483"/>
    <hyperlink ref="B29" r:id="rId34" display="2493"/>
    <hyperlink ref="B30" r:id="rId35" display="2515"/>
    <hyperlink ref="B31" r:id="rId36" display="2548"/>
    <hyperlink ref="B32" r:id="rId37" display="2705"/>
    <hyperlink ref="B33" r:id="rId38" display="2707"/>
    <hyperlink ref="B34" r:id="rId39" display="2723"/>
    <hyperlink ref="B35" r:id="rId40" display="2856"/>
    <hyperlink ref="B36" r:id="rId41" display="2885"/>
    <hyperlink ref="B37" r:id="rId42" display="3004"/>
    <hyperlink ref="B38" r:id="rId43" display="3014"/>
    <hyperlink ref="B39" r:id="rId44" display="3017"/>
    <hyperlink ref="B40" r:id="rId45" display="3031"/>
    <hyperlink ref="B41" r:id="rId46" display="3050"/>
    <hyperlink ref="B42" r:id="rId47" display="3060"/>
    <hyperlink ref="B43" r:id="rId48" display="3122"/>
    <hyperlink ref="B44" r:id="rId49" display="3152"/>
    <hyperlink ref="B45" r:id="rId50" display="3169"/>
    <hyperlink ref="B46" r:id="rId51" display="3202"/>
    <hyperlink ref="B47" r:id="rId52" display="3284"/>
    <hyperlink ref="B48" r:id="rId53" display="3379"/>
    <hyperlink ref="B49" r:id="rId54" display="3441"/>
    <hyperlink ref="B50" r:id="rId55" display="3450"/>
    <hyperlink ref="B51" r:id="rId56" display="3494"/>
    <hyperlink ref="B52" r:id="rId57" display="3499"/>
    <hyperlink ref="B53" r:id="rId58" display="3528"/>
    <hyperlink ref="B54" r:id="rId59" display="3535"/>
    <hyperlink ref="B55" r:id="rId60" display="3552"/>
    <hyperlink ref="B56" r:id="rId61" display="3556"/>
    <hyperlink ref="B57" r:id="rId62" display="3605"/>
    <hyperlink ref="B58" r:id="rId63" display="3663"/>
    <hyperlink ref="B59" r:id="rId64" display="3693"/>
    <hyperlink ref="B60" r:id="rId65" display="4104"/>
    <hyperlink ref="B61" r:id="rId66" display="4137"/>
    <hyperlink ref="B62" r:id="rId67" display="4141"/>
    <hyperlink ref="B63" r:id="rId68" display="4173"/>
    <hyperlink ref="B64" r:id="rId69" display="4401"/>
    <hyperlink ref="B65" r:id="rId70" display="4725"/>
    <hyperlink ref="B66" r:id="rId71" display="4934"/>
    <hyperlink ref="B67" r:id="rId72" display="4947"/>
    <hyperlink ref="B68" r:id="rId73" display="4960"/>
    <hyperlink ref="B69" r:id="rId74" display="4991"/>
    <hyperlink ref="B70" r:id="rId75" display="5210"/>
    <hyperlink ref="B71" r:id="rId76" display="5309"/>
    <hyperlink ref="B72" r:id="rId77" display="5347"/>
    <hyperlink ref="B73" r:id="rId78" display="5349"/>
    <hyperlink ref="B74" r:id="rId79" display="5371"/>
    <hyperlink ref="B75" r:id="rId80" display="5392"/>
    <hyperlink ref="B76" r:id="rId81" display="5536"/>
    <hyperlink ref="B77" r:id="rId82" display="6005"/>
    <hyperlink ref="B78" r:id="rId83" display="6114"/>
    <hyperlink ref="B79" r:id="rId84" display="6142"/>
    <hyperlink ref="B80" r:id="rId85" display="6196"/>
    <hyperlink ref="B81" r:id="rId86" display="6266"/>
    <hyperlink ref="B82" r:id="rId87" display="6278"/>
    <hyperlink ref="B83" r:id="rId88" display="6282"/>
    <hyperlink ref="B84" r:id="rId89" display="6294"/>
    <hyperlink ref="B85" r:id="rId90" display="6404"/>
    <hyperlink ref="B86" r:id="rId91" display="6409"/>
    <hyperlink ref="B87" r:id="rId92" display="6414"/>
    <hyperlink ref="B88" r:id="rId93" display="6426"/>
    <hyperlink ref="B89" r:id="rId94" display="8043"/>
    <hyperlink ref="B90" r:id="rId95" display="8049"/>
    <hyperlink ref="B91" r:id="rId96" display="8064"/>
    <hyperlink ref="B92" r:id="rId97" display="8150"/>
    <hyperlink ref="B93" r:id="rId98" display="8182"/>
    <hyperlink ref="B94" r:id="rId99" display="8249"/>
    <hyperlink ref="B95" r:id="rId100" display="8403"/>
    <hyperlink ref="B96" r:id="rId101" display="8420"/>
    <hyperlink ref="B97" r:id="rId102" display="9943"/>
    <hyperlink ref="B98" r:id="rId103" display="9945"/>
  </hyperlinks>
  <pageMargins left="0.7" right="0.7" top="0.75" bottom="0.75" header="0.3" footer="0.3"/>
  <pageSetup paperSize="9" orientation="portrait" r:id="rId104"/>
  <drawing r:id="rId105"/>
  <legacyDrawing r:id="rId106"/>
  <controls>
    <mc:AlternateContent xmlns:mc="http://schemas.openxmlformats.org/markup-compatibility/2006">
      <mc:Choice Requires="x14">
        <control shapeId="4113" r:id="rId107" name="CommandButton17">
          <controlPr defaultSize="0" autoLine="0" r:id="rId108">
            <anchor moveWithCells="1">
              <from>
                <xdr:col>12</xdr:col>
                <xdr:colOff>66675</xdr:colOff>
                <xdr:row>0</xdr:row>
                <xdr:rowOff>0</xdr:rowOff>
              </from>
              <to>
                <xdr:col>12</xdr:col>
                <xdr:colOff>771525</xdr:colOff>
                <xdr:row>0</xdr:row>
                <xdr:rowOff>400050</xdr:rowOff>
              </to>
            </anchor>
          </controlPr>
        </control>
      </mc:Choice>
      <mc:Fallback>
        <control shapeId="4113" r:id="rId107" name="CommandButton17"/>
      </mc:Fallback>
    </mc:AlternateContent>
    <mc:AlternateContent xmlns:mc="http://schemas.openxmlformats.org/markup-compatibility/2006">
      <mc:Choice Requires="x14">
        <control shapeId="4112" r:id="rId109" name="CommandButton16">
          <controlPr defaultSize="0" autoLine="0" r:id="rId110">
            <anchor moveWithCells="1">
              <from>
                <xdr:col>8</xdr:col>
                <xdr:colOff>9525</xdr:colOff>
                <xdr:row>0</xdr:row>
                <xdr:rowOff>19050</xdr:rowOff>
              </from>
              <to>
                <xdr:col>8</xdr:col>
                <xdr:colOff>800100</xdr:colOff>
                <xdr:row>1</xdr:row>
                <xdr:rowOff>0</xdr:rowOff>
              </to>
            </anchor>
          </controlPr>
        </control>
      </mc:Choice>
      <mc:Fallback>
        <control shapeId="4112" r:id="rId109" name="CommandButton16"/>
      </mc:Fallback>
    </mc:AlternateContent>
    <mc:AlternateContent xmlns:mc="http://schemas.openxmlformats.org/markup-compatibility/2006">
      <mc:Choice Requires="x14">
        <control shapeId="4111" r:id="rId111" name="CommandButton15">
          <controlPr defaultSize="0" autoLine="0" r:id="rId112">
            <anchor moveWithCells="1">
              <from>
                <xdr:col>7</xdr:col>
                <xdr:colOff>38100</xdr:colOff>
                <xdr:row>0</xdr:row>
                <xdr:rowOff>9525</xdr:rowOff>
              </from>
              <to>
                <xdr:col>7</xdr:col>
                <xdr:colOff>828675</xdr:colOff>
                <xdr:row>0</xdr:row>
                <xdr:rowOff>419100</xdr:rowOff>
              </to>
            </anchor>
          </controlPr>
        </control>
      </mc:Choice>
      <mc:Fallback>
        <control shapeId="4111" r:id="rId111" name="CommandButton15"/>
      </mc:Fallback>
    </mc:AlternateContent>
    <mc:AlternateContent xmlns:mc="http://schemas.openxmlformats.org/markup-compatibility/2006">
      <mc:Choice Requires="x14">
        <control shapeId="4110" r:id="rId113" name="CommandButton14">
          <controlPr defaultSize="0" autoLine="0" r:id="rId114">
            <anchor moveWithCells="1">
              <from>
                <xdr:col>11</xdr:col>
                <xdr:colOff>47625</xdr:colOff>
                <xdr:row>0</xdr:row>
                <xdr:rowOff>9525</xdr:rowOff>
              </from>
              <to>
                <xdr:col>12</xdr:col>
                <xdr:colOff>9525</xdr:colOff>
                <xdr:row>0</xdr:row>
                <xdr:rowOff>419100</xdr:rowOff>
              </to>
            </anchor>
          </controlPr>
        </control>
      </mc:Choice>
      <mc:Fallback>
        <control shapeId="4110" r:id="rId113" name="CommandButton14"/>
      </mc:Fallback>
    </mc:AlternateContent>
    <mc:AlternateContent xmlns:mc="http://schemas.openxmlformats.org/markup-compatibility/2006">
      <mc:Choice Requires="x14">
        <control shapeId="4109" r:id="rId115" name="CommandButton1">
          <controlPr defaultSize="0" autoLine="0" r:id="rId116">
            <anchor moveWithCells="1">
              <from>
                <xdr:col>2</xdr:col>
                <xdr:colOff>38100</xdr:colOff>
                <xdr:row>0</xdr:row>
                <xdr:rowOff>19050</xdr:rowOff>
              </from>
              <to>
                <xdr:col>2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109" r:id="rId115" name="CommandButton1"/>
      </mc:Fallback>
    </mc:AlternateContent>
    <mc:AlternateContent xmlns:mc="http://schemas.openxmlformats.org/markup-compatibility/2006">
      <mc:Choice Requires="x14">
        <control shapeId="4108" r:id="rId117" name="CommandButton13">
          <controlPr defaultSize="0" autoLine="0" r:id="rId118">
            <anchor moveWithCells="1">
              <from>
                <xdr:col>6</xdr:col>
                <xdr:colOff>38100</xdr:colOff>
                <xdr:row>0</xdr:row>
                <xdr:rowOff>19050</xdr:rowOff>
              </from>
              <to>
                <xdr:col>6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108" r:id="rId117" name="CommandButton13"/>
      </mc:Fallback>
    </mc:AlternateContent>
    <mc:AlternateContent xmlns:mc="http://schemas.openxmlformats.org/markup-compatibility/2006">
      <mc:Choice Requires="x14">
        <control shapeId="4107" r:id="rId119" name="CommandButton12">
          <controlPr defaultSize="0" autoLine="0" r:id="rId120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714375</xdr:colOff>
                <xdr:row>0</xdr:row>
                <xdr:rowOff>409575</xdr:rowOff>
              </to>
            </anchor>
          </controlPr>
        </control>
      </mc:Choice>
      <mc:Fallback>
        <control shapeId="4107" r:id="rId119" name="CommandButton12"/>
      </mc:Fallback>
    </mc:AlternateContent>
    <mc:AlternateContent xmlns:mc="http://schemas.openxmlformats.org/markup-compatibility/2006">
      <mc:Choice Requires="x14">
        <control shapeId="4106" r:id="rId121" name="CommandButton11">
          <controlPr defaultSize="0" autoLine="0" r:id="rId122">
            <anchor moveWithCells="1">
              <from>
                <xdr:col>10</xdr:col>
                <xdr:colOff>19050</xdr:colOff>
                <xdr:row>0</xdr:row>
                <xdr:rowOff>9525</xdr:rowOff>
              </from>
              <to>
                <xdr:col>11</xdr:col>
                <xdr:colOff>19050</xdr:colOff>
                <xdr:row>0</xdr:row>
                <xdr:rowOff>419100</xdr:rowOff>
              </to>
            </anchor>
          </controlPr>
        </control>
      </mc:Choice>
      <mc:Fallback>
        <control shapeId="4106" r:id="rId121" name="CommandButton11"/>
      </mc:Fallback>
    </mc:AlternateContent>
    <mc:AlternateContent xmlns:mc="http://schemas.openxmlformats.org/markup-compatibility/2006">
      <mc:Choice Requires="x14">
        <control shapeId="4105" r:id="rId123" name="CommandButton10">
          <controlPr defaultSize="0" autoLine="0" r:id="rId124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9</xdr:col>
                <xdr:colOff>809625</xdr:colOff>
                <xdr:row>0</xdr:row>
                <xdr:rowOff>419100</xdr:rowOff>
              </to>
            </anchor>
          </controlPr>
        </control>
      </mc:Choice>
      <mc:Fallback>
        <control shapeId="4105" r:id="rId123" name="CommandButton10"/>
      </mc:Fallback>
    </mc:AlternateContent>
    <mc:AlternateContent xmlns:mc="http://schemas.openxmlformats.org/markup-compatibility/2006">
      <mc:Choice Requires="x14">
        <control shapeId="4099" r:id="rId125" name="CommandButton4">
          <controlPr defaultSize="0" autoLine="0" autoPict="0" r:id="rId126">
            <anchor moveWithCells="1">
              <from>
                <xdr:col>5</xdr:col>
                <xdr:colOff>38100</xdr:colOff>
                <xdr:row>0</xdr:row>
                <xdr:rowOff>19050</xdr:rowOff>
              </from>
              <to>
                <xdr:col>5</xdr:col>
                <xdr:colOff>981075</xdr:colOff>
                <xdr:row>1</xdr:row>
                <xdr:rowOff>0</xdr:rowOff>
              </to>
            </anchor>
          </controlPr>
        </control>
      </mc:Choice>
      <mc:Fallback>
        <control shapeId="4099" r:id="rId125" name="CommandButton4"/>
      </mc:Fallback>
    </mc:AlternateContent>
    <mc:AlternateContent xmlns:mc="http://schemas.openxmlformats.org/markup-compatibility/2006">
      <mc:Choice Requires="x14">
        <control shapeId="4098" r:id="rId127" name="CommandButton3">
          <controlPr defaultSize="0" autoLine="0" r:id="rId128">
            <anchor moveWithCells="1">
              <from>
                <xdr:col>4</xdr:col>
                <xdr:colOff>38100</xdr:colOff>
                <xdr:row>0</xdr:row>
                <xdr:rowOff>19050</xdr:rowOff>
              </from>
              <to>
                <xdr:col>4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098" r:id="rId127" name="CommandButton3"/>
      </mc:Fallback>
    </mc:AlternateContent>
    <mc:AlternateContent xmlns:mc="http://schemas.openxmlformats.org/markup-compatibility/2006">
      <mc:Choice Requires="x14">
        <control shapeId="4097" r:id="rId129" name="CommandButton2">
          <controlPr defaultSize="0" autoLine="0" r:id="rId130">
            <anchor moveWithCells="1">
              <from>
                <xdr:col>3</xdr:col>
                <xdr:colOff>38100</xdr:colOff>
                <xdr:row>0</xdr:row>
                <xdr:rowOff>19050</xdr:rowOff>
              </from>
              <to>
                <xdr:col>3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097" r:id="rId129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R1" sqref="R1:V1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1917</v>
      </c>
      <c r="D1" s="33"/>
      <c r="E1" s="34" t="s">
        <v>1915</v>
      </c>
      <c r="F1" s="33"/>
      <c r="G1" s="34" t="s">
        <v>1916</v>
      </c>
      <c r="R1" s="359" t="s">
        <v>1872</v>
      </c>
      <c r="S1" s="360"/>
      <c r="T1" s="360"/>
      <c r="U1" s="360"/>
      <c r="V1" s="361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58" t="s">
        <v>207</v>
      </c>
      <c r="C3" s="358"/>
      <c r="D3" s="358"/>
      <c r="E3" s="358"/>
      <c r="F3" s="358"/>
      <c r="G3" s="358"/>
      <c r="H3" s="358"/>
      <c r="I3" s="43"/>
      <c r="J3" s="358" t="s">
        <v>208</v>
      </c>
      <c r="K3" s="358"/>
      <c r="L3" s="358"/>
      <c r="M3" s="358"/>
      <c r="N3" s="358"/>
      <c r="O3" s="358"/>
      <c r="P3" s="358"/>
      <c r="R3" s="364" t="s">
        <v>1877</v>
      </c>
      <c r="S3" s="335"/>
      <c r="T3" s="112" t="s">
        <v>1878</v>
      </c>
      <c r="U3" s="112" t="s">
        <v>1880</v>
      </c>
      <c r="V3" s="112" t="s">
        <v>1879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6">
        <f>IF(C1&lt;&gt;"",PK!A2," ")</f>
        <v>2454</v>
      </c>
      <c r="S4" s="107" t="str">
        <f>LEFT(C1,2)</f>
        <v>聯發</v>
      </c>
      <c r="T4" s="113">
        <f>ROUND(PK!L11,2)</f>
        <v>20.6</v>
      </c>
      <c r="U4" s="114" t="e">
        <f>VLOOKUP(R4,收盤價!A:B,3,0)</f>
        <v>#REF!</v>
      </c>
      <c r="V4" s="115" t="e">
        <f>ROUND(U4/T4,2)</f>
        <v>#REF!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8">
        <f>IF(E1&lt;&gt;"",PK!A3,"")</f>
        <v>3034</v>
      </c>
      <c r="S5" s="109" t="str">
        <f>LEFT(E1,2)</f>
        <v>聯詠</v>
      </c>
      <c r="T5" s="113">
        <f>ROUND(PK!L12,2)</f>
        <v>11.55</v>
      </c>
      <c r="U5" s="114" t="e">
        <f>VLOOKUP(R5,收盤價!A:B,3,0)</f>
        <v>#REF!</v>
      </c>
      <c r="V5" s="115" t="e">
        <f>ROUND(U5/T5,2)</f>
        <v>#REF!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10">
        <f>PK!A4</f>
        <v>2379</v>
      </c>
      <c r="S6" s="111" t="str">
        <f>LEFT(G1,2)</f>
        <v>瑞昱</v>
      </c>
      <c r="T6" s="113">
        <f>ROUND(PK!L13,2)</f>
        <v>5.3</v>
      </c>
      <c r="U6" s="114" t="e">
        <f>VLOOKUP(R6,收盤價!A:B,3,0)</f>
        <v>#REF!</v>
      </c>
      <c r="V6" s="115" t="e">
        <f>ROUND(U6/T6,0)</f>
        <v>#REF!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9"/>
      <c r="S7" s="362"/>
      <c r="T7" s="362"/>
      <c r="U7" s="362"/>
      <c r="V7" s="363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9"/>
      <c r="S8" s="80"/>
      <c r="T8" s="80"/>
      <c r="U8" s="80"/>
      <c r="V8" s="81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9"/>
      <c r="S9" s="80"/>
      <c r="T9" s="80"/>
      <c r="U9" s="80"/>
      <c r="V9" s="81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9"/>
      <c r="S10" s="80"/>
      <c r="T10" s="80"/>
      <c r="U10" s="80"/>
      <c r="V10" s="81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9"/>
      <c r="S11" s="80"/>
      <c r="T11" s="80"/>
      <c r="U11" s="80"/>
      <c r="V11" s="81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82"/>
      <c r="S12" s="83"/>
      <c r="T12" s="83"/>
      <c r="U12" s="83"/>
      <c r="V12" s="84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58" t="s">
        <v>1874</v>
      </c>
      <c r="C14" s="358"/>
      <c r="D14" s="358"/>
      <c r="E14" s="358"/>
      <c r="F14" s="358"/>
      <c r="G14" s="358"/>
      <c r="H14" s="358"/>
      <c r="I14" s="43"/>
      <c r="J14" s="358" t="s">
        <v>209</v>
      </c>
      <c r="K14" s="358"/>
      <c r="L14" s="358"/>
      <c r="M14" s="358"/>
      <c r="N14" s="358"/>
      <c r="O14" s="358"/>
      <c r="P14" s="358"/>
      <c r="R14" s="85"/>
      <c r="S14" s="86"/>
      <c r="T14" s="86"/>
      <c r="U14" s="86"/>
      <c r="V14" s="87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9"/>
      <c r="S15" s="80"/>
      <c r="T15" s="80"/>
      <c r="U15" s="80"/>
      <c r="V15" s="81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9"/>
      <c r="S16" s="80"/>
      <c r="T16" s="80"/>
      <c r="U16" s="80"/>
      <c r="V16" s="81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9"/>
      <c r="S17" s="80"/>
      <c r="T17" s="80"/>
      <c r="U17" s="80"/>
      <c r="V17" s="81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9"/>
      <c r="S18" s="80"/>
      <c r="T18" s="80"/>
      <c r="U18" s="80"/>
      <c r="V18" s="81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9"/>
      <c r="S19" s="80"/>
      <c r="T19" s="80"/>
      <c r="U19" s="80"/>
      <c r="V19" s="81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9"/>
      <c r="S20" s="80"/>
      <c r="T20" s="80"/>
      <c r="U20" s="80"/>
      <c r="V20" s="81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9"/>
      <c r="S21" s="80"/>
      <c r="T21" s="80"/>
      <c r="U21" s="80"/>
      <c r="V21" s="81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9"/>
      <c r="S22" s="80"/>
      <c r="T22" s="80"/>
      <c r="U22" s="80"/>
      <c r="V22" s="81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9"/>
      <c r="S23" s="80"/>
      <c r="T23" s="80"/>
      <c r="U23" s="80"/>
      <c r="V23" s="81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9"/>
      <c r="S24" s="80"/>
      <c r="T24" s="80"/>
      <c r="U24" s="80"/>
      <c r="V24" s="81"/>
    </row>
    <row r="25" spans="1:22" ht="19.5">
      <c r="A25" s="43"/>
      <c r="B25" s="358" t="s">
        <v>1873</v>
      </c>
      <c r="C25" s="358"/>
      <c r="D25" s="358"/>
      <c r="E25" s="358"/>
      <c r="F25" s="358"/>
      <c r="G25" s="358"/>
      <c r="H25" s="358"/>
      <c r="I25" s="43"/>
      <c r="J25" s="358" t="s">
        <v>1876</v>
      </c>
      <c r="K25" s="358"/>
      <c r="L25" s="358"/>
      <c r="M25" s="358"/>
      <c r="N25" s="358"/>
      <c r="O25" s="358"/>
      <c r="P25" s="358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8"/>
      <c r="T26" s="41"/>
      <c r="U26" s="88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6"/>
      <c r="S35" s="77"/>
      <c r="T35" s="77"/>
      <c r="U35" s="77"/>
      <c r="V35" s="78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7178" r:id="rId4" name="CommandButton7">
          <controlPr defaultSize="0" autoLine="0" r:id="rId5">
            <anchor moveWithCells="1">
              <from>
                <xdr:col>9</xdr:col>
                <xdr:colOff>38100</xdr:colOff>
                <xdr:row>0</xdr:row>
                <xdr:rowOff>38100</xdr:rowOff>
              </from>
              <to>
                <xdr:col>10</xdr:col>
                <xdr:colOff>561975</xdr:colOff>
                <xdr:row>0</xdr:row>
                <xdr:rowOff>342900</xdr:rowOff>
              </to>
            </anchor>
          </controlPr>
        </control>
      </mc:Choice>
      <mc:Fallback>
        <control shapeId="7178" r:id="rId4" name="CommandButton7"/>
      </mc:Fallback>
    </mc:AlternateContent>
    <mc:AlternateContent xmlns:mc="http://schemas.openxmlformats.org/markup-compatibility/2006">
      <mc:Choice Requires="x14">
        <control shapeId="7176" r:id="rId6" name="CommandButton5">
          <controlPr defaultSize="0" autoLine="0" r:id="rId7">
            <anchor moveWithCells="1">
              <from>
                <xdr:col>14</xdr:col>
                <xdr:colOff>552450</xdr:colOff>
                <xdr:row>0</xdr:row>
                <xdr:rowOff>38100</xdr:rowOff>
              </from>
              <to>
                <xdr:col>15</xdr:col>
                <xdr:colOff>781050</xdr:colOff>
                <xdr:row>0</xdr:row>
                <xdr:rowOff>342900</xdr:rowOff>
              </to>
            </anchor>
          </controlPr>
        </control>
      </mc:Choice>
      <mc:Fallback>
        <control shapeId="7176" r:id="rId6" name="CommandButton5"/>
      </mc:Fallback>
    </mc:AlternateContent>
    <mc:AlternateContent xmlns:mc="http://schemas.openxmlformats.org/markup-compatibility/2006">
      <mc:Choice Requires="x14">
        <control shapeId="7175" r:id="rId8" name="CommandButton4">
          <controlPr defaultSize="0" autoLine="0" r:id="rId9">
            <anchor moveWithCells="1">
              <from>
                <xdr:col>13</xdr:col>
                <xdr:colOff>276225</xdr:colOff>
                <xdr:row>0</xdr:row>
                <xdr:rowOff>38100</xdr:rowOff>
              </from>
              <to>
                <xdr:col>14</xdr:col>
                <xdr:colOff>504825</xdr:colOff>
                <xdr:row>0</xdr:row>
                <xdr:rowOff>342900</xdr:rowOff>
              </to>
            </anchor>
          </controlPr>
        </control>
      </mc:Choice>
      <mc:Fallback>
        <control shapeId="7175" r:id="rId8" name="CommandButton4"/>
      </mc:Fallback>
    </mc:AlternateContent>
    <mc:AlternateContent xmlns:mc="http://schemas.openxmlformats.org/markup-compatibility/2006">
      <mc:Choice Requires="x14">
        <control shapeId="7174" r:id="rId10" name="CommandButton3">
          <controlPr defaultSize="0" autoLine="0" r:id="rId11">
            <anchor moveWithCells="1">
              <from>
                <xdr:col>12</xdr:col>
                <xdr:colOff>0</xdr:colOff>
                <xdr:row>0</xdr:row>
                <xdr:rowOff>38100</xdr:rowOff>
              </from>
              <to>
                <xdr:col>13</xdr:col>
                <xdr:colOff>228600</xdr:colOff>
                <xdr:row>0</xdr:row>
                <xdr:rowOff>342900</xdr:rowOff>
              </to>
            </anchor>
          </controlPr>
        </control>
      </mc:Choice>
      <mc:Fallback>
        <control shapeId="7174" r:id="rId10" name="CommandButton3"/>
      </mc:Fallback>
    </mc:AlternateContent>
    <mc:AlternateContent xmlns:mc="http://schemas.openxmlformats.org/markup-compatibility/2006">
      <mc:Choice Requires="x14">
        <control shapeId="7173" r:id="rId12" name="CommandButton2">
          <controlPr defaultSize="0" autoLine="0" r:id="rId13">
            <anchor moveWithCells="1">
              <from>
                <xdr:col>10</xdr:col>
                <xdr:colOff>676275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342900</xdr:rowOff>
              </to>
            </anchor>
          </controlPr>
        </control>
      </mc:Choice>
      <mc:Fallback>
        <control shapeId="7173" r:id="rId12" name="CommandButton2"/>
      </mc:Fallback>
    </mc:AlternateContent>
    <mc:AlternateContent xmlns:mc="http://schemas.openxmlformats.org/markup-compatibility/2006">
      <mc:Choice Requires="x14">
        <control shapeId="7172" r:id="rId14" name="CommandButton1">
          <controlPr defaultSize="0" autoLine="0" autoPict="0" r:id="rId15">
            <anchor moveWithCells="1">
              <from>
                <xdr:col>7</xdr:col>
                <xdr:colOff>9525</xdr:colOff>
                <xdr:row>0</xdr:row>
                <xdr:rowOff>38100</xdr:rowOff>
              </from>
              <to>
                <xdr:col>8</xdr:col>
                <xdr:colOff>9525</xdr:colOff>
                <xdr:row>0</xdr:row>
                <xdr:rowOff>342900</xdr:rowOff>
              </to>
            </anchor>
          </controlPr>
        </control>
      </mc:Choice>
      <mc:Fallback>
        <control shapeId="7172" r:id="rId14" name="CommandButton1"/>
      </mc:Fallback>
    </mc:AlternateContent>
    <mc:AlternateContent xmlns:mc="http://schemas.openxmlformats.org/markup-compatibility/2006">
      <mc:Choice Requires="x14">
        <control shapeId="7171" r:id="rId16" name="ComboBox3">
          <controlPr defaultSize="0" autoLine="0" r:id="rId17">
            <anchor moveWithCells="1">
              <from>
                <xdr:col>5</xdr:col>
                <xdr:colOff>19050</xdr:colOff>
                <xdr:row>0</xdr:row>
                <xdr:rowOff>47625</xdr:rowOff>
              </from>
              <to>
                <xdr:col>5</xdr:col>
                <xdr:colOff>885825</xdr:colOff>
                <xdr:row>1</xdr:row>
                <xdr:rowOff>0</xdr:rowOff>
              </to>
            </anchor>
          </controlPr>
        </control>
      </mc:Choice>
      <mc:Fallback>
        <control shapeId="7171" r:id="rId16" name="ComboBox3"/>
      </mc:Fallback>
    </mc:AlternateContent>
    <mc:AlternateContent xmlns:mc="http://schemas.openxmlformats.org/markup-compatibility/2006">
      <mc:Choice Requires="x14">
        <control shapeId="7170" r:id="rId18" name="ComboBox2">
          <controlPr defaultSize="0" autoLine="0" r:id="rId19">
            <anchor moveWithCells="1">
              <from>
                <xdr:col>3</xdr:col>
                <xdr:colOff>47625</xdr:colOff>
                <xdr:row>0</xdr:row>
                <xdr:rowOff>47625</xdr:rowOff>
              </from>
              <to>
                <xdr:col>3</xdr:col>
                <xdr:colOff>914400</xdr:colOff>
                <xdr:row>1</xdr:row>
                <xdr:rowOff>0</xdr:rowOff>
              </to>
            </anchor>
          </controlPr>
        </control>
      </mc:Choice>
      <mc:Fallback>
        <control shapeId="7170" r:id="rId18" name="ComboBox2"/>
      </mc:Fallback>
    </mc:AlternateContent>
    <mc:AlternateContent xmlns:mc="http://schemas.openxmlformats.org/markup-compatibility/2006">
      <mc:Choice Requires="x14">
        <control shapeId="7169" r:id="rId20" name="ComboBox1">
          <controlPr defaultSize="0" autoLine="0" r:id="rId21">
            <anchor moveWithCells="1">
              <from>
                <xdr:col>1</xdr:col>
                <xdr:colOff>19050</xdr:colOff>
                <xdr:row>0</xdr:row>
                <xdr:rowOff>47625</xdr:rowOff>
              </from>
              <to>
                <xdr:col>2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7169" r:id="rId20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K5751"/>
  <sheetViews>
    <sheetView zoomScale="90" zoomScaleNormal="9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B164" sqref="B164"/>
    </sheetView>
  </sheetViews>
  <sheetFormatPr defaultColWidth="9" defaultRowHeight="16.5"/>
  <cols>
    <col min="1" max="1" width="12.5" style="27" customWidth="1"/>
    <col min="2" max="2" width="9.5" style="27" bestFit="1" customWidth="1"/>
    <col min="3" max="10" width="15.125" style="27" customWidth="1"/>
    <col min="11" max="11" width="38.125" style="287" customWidth="1"/>
    <col min="12" max="16384" width="9" style="27"/>
  </cols>
  <sheetData>
    <row r="1" spans="1:11" s="20" customFormat="1" ht="48" customHeight="1">
      <c r="A1" s="47" t="s">
        <v>1969</v>
      </c>
      <c r="B1" s="48" t="s">
        <v>2301</v>
      </c>
      <c r="C1" s="48" t="s">
        <v>231</v>
      </c>
      <c r="D1" s="48" t="s">
        <v>232</v>
      </c>
      <c r="E1" s="48" t="s">
        <v>233</v>
      </c>
      <c r="F1" s="49" t="s">
        <v>236</v>
      </c>
      <c r="G1" s="49" t="s">
        <v>235</v>
      </c>
      <c r="H1" s="49" t="s">
        <v>230</v>
      </c>
      <c r="I1" s="49" t="s">
        <v>234</v>
      </c>
      <c r="J1" s="50" t="s">
        <v>237</v>
      </c>
      <c r="K1" s="285"/>
    </row>
    <row r="2" spans="1:11" customFormat="1" hidden="1">
      <c r="A2">
        <v>9962</v>
      </c>
      <c r="B2" t="s">
        <v>2005</v>
      </c>
      <c r="C2" s="46">
        <v>119179</v>
      </c>
      <c r="D2" s="46">
        <v>128660</v>
      </c>
      <c r="E2" s="46">
        <v>241161</v>
      </c>
      <c r="F2">
        <v>-7.36</v>
      </c>
      <c r="G2">
        <v>-50.58</v>
      </c>
      <c r="H2" s="46">
        <v>1703029</v>
      </c>
      <c r="I2" s="46">
        <v>2338179</v>
      </c>
      <c r="J2">
        <v>-27.16</v>
      </c>
      <c r="K2" s="286">
        <v>0</v>
      </c>
    </row>
    <row r="3" spans="1:11" customFormat="1" hidden="1">
      <c r="A3">
        <v>9960</v>
      </c>
      <c r="B3" t="s">
        <v>540</v>
      </c>
      <c r="C3" s="46">
        <v>39898</v>
      </c>
      <c r="D3" s="46">
        <v>36845</v>
      </c>
      <c r="E3" s="46">
        <v>58777</v>
      </c>
      <c r="F3">
        <v>8.2799999999999994</v>
      </c>
      <c r="G3">
        <v>-32.11</v>
      </c>
      <c r="H3" s="46">
        <v>439188</v>
      </c>
      <c r="I3" s="46">
        <v>517065</v>
      </c>
      <c r="J3">
        <v>-15.06</v>
      </c>
      <c r="K3">
        <v>0</v>
      </c>
    </row>
    <row r="4" spans="1:11" customFormat="1" hidden="1">
      <c r="A4">
        <v>9951</v>
      </c>
      <c r="B4" t="s">
        <v>1981</v>
      </c>
      <c r="C4" s="46">
        <v>333945</v>
      </c>
      <c r="D4" s="46">
        <v>347401</v>
      </c>
      <c r="E4" s="46">
        <v>273727</v>
      </c>
      <c r="F4">
        <v>-3.87</v>
      </c>
      <c r="G4">
        <v>21.99</v>
      </c>
      <c r="H4" s="46">
        <v>3043640</v>
      </c>
      <c r="I4" s="46">
        <v>2553117</v>
      </c>
      <c r="J4">
        <v>19.21</v>
      </c>
      <c r="K4" s="286">
        <v>1</v>
      </c>
    </row>
    <row r="5" spans="1:11" customFormat="1" hidden="1">
      <c r="A5">
        <v>9950</v>
      </c>
      <c r="B5" t="s">
        <v>2154</v>
      </c>
      <c r="C5" s="46">
        <v>274028</v>
      </c>
      <c r="D5" s="46">
        <v>355463</v>
      </c>
      <c r="E5" s="46">
        <v>278673</v>
      </c>
      <c r="F5">
        <v>-22.9</v>
      </c>
      <c r="G5">
        <v>-1.66</v>
      </c>
      <c r="H5" s="46">
        <v>2827566</v>
      </c>
      <c r="I5" s="46">
        <v>2949165</v>
      </c>
      <c r="J5">
        <v>-4.12</v>
      </c>
      <c r="K5">
        <v>0</v>
      </c>
    </row>
    <row r="6" spans="1:11" customFormat="1" hidden="1">
      <c r="A6">
        <v>9949</v>
      </c>
      <c r="B6" t="s">
        <v>539</v>
      </c>
      <c r="C6" s="46">
        <v>35712</v>
      </c>
      <c r="D6" s="46">
        <v>30307</v>
      </c>
      <c r="E6" s="46">
        <v>41082</v>
      </c>
      <c r="F6">
        <v>17.829999999999998</v>
      </c>
      <c r="G6">
        <v>-13.07</v>
      </c>
      <c r="H6" s="46">
        <v>322615</v>
      </c>
      <c r="I6" s="46">
        <v>398549</v>
      </c>
      <c r="J6">
        <v>-19.05</v>
      </c>
      <c r="K6" s="286">
        <v>1</v>
      </c>
    </row>
    <row r="7" spans="1:11" customFormat="1" hidden="1">
      <c r="A7">
        <v>8942</v>
      </c>
      <c r="B7" t="s">
        <v>1852</v>
      </c>
      <c r="C7" s="46">
        <v>366423</v>
      </c>
      <c r="D7" s="46">
        <v>320812</v>
      </c>
      <c r="E7" s="46">
        <v>260608</v>
      </c>
      <c r="F7">
        <v>14.21</v>
      </c>
      <c r="G7">
        <v>40.6</v>
      </c>
      <c r="H7" s="46">
        <v>4094691</v>
      </c>
      <c r="I7" s="46">
        <v>2909092</v>
      </c>
      <c r="J7">
        <v>40.75</v>
      </c>
      <c r="K7" s="286">
        <v>0</v>
      </c>
    </row>
    <row r="8" spans="1:11" customFormat="1" hidden="1">
      <c r="A8">
        <v>8941</v>
      </c>
      <c r="B8" t="s">
        <v>538</v>
      </c>
      <c r="C8" s="46">
        <v>191024</v>
      </c>
      <c r="D8" s="46">
        <v>187608</v>
      </c>
      <c r="E8" s="46">
        <v>193120</v>
      </c>
      <c r="F8">
        <v>1.82</v>
      </c>
      <c r="G8">
        <v>-1.08</v>
      </c>
      <c r="H8" s="46">
        <v>2118393</v>
      </c>
      <c r="I8" s="46">
        <v>2187339</v>
      </c>
      <c r="J8">
        <v>-3.15</v>
      </c>
      <c r="K8">
        <v>0</v>
      </c>
    </row>
    <row r="9" spans="1:11" customFormat="1" hidden="1">
      <c r="A9">
        <v>8938</v>
      </c>
      <c r="B9" t="s">
        <v>537</v>
      </c>
      <c r="C9" s="46">
        <v>813556</v>
      </c>
      <c r="D9" s="46">
        <v>725449</v>
      </c>
      <c r="E9" s="46">
        <v>860739</v>
      </c>
      <c r="F9">
        <v>12.14</v>
      </c>
      <c r="G9">
        <v>-5.48</v>
      </c>
      <c r="H9" s="46">
        <v>6935858</v>
      </c>
      <c r="I9" s="46">
        <v>7756729</v>
      </c>
      <c r="J9">
        <v>-10.58</v>
      </c>
      <c r="K9">
        <v>1</v>
      </c>
    </row>
    <row r="10" spans="1:11" customFormat="1" hidden="1">
      <c r="A10">
        <v>8937</v>
      </c>
      <c r="B10" t="s">
        <v>2132</v>
      </c>
      <c r="C10" s="46">
        <v>19636</v>
      </c>
      <c r="D10" s="46">
        <v>50909</v>
      </c>
      <c r="E10" s="46">
        <v>18110</v>
      </c>
      <c r="F10">
        <v>-61.42</v>
      </c>
      <c r="G10">
        <v>8.42</v>
      </c>
      <c r="H10" s="46">
        <v>362406</v>
      </c>
      <c r="I10" s="46">
        <v>412679</v>
      </c>
      <c r="J10">
        <v>-12.18</v>
      </c>
      <c r="K10" s="286">
        <v>0</v>
      </c>
    </row>
    <row r="11" spans="1:11" customFormat="1" hidden="1">
      <c r="A11">
        <v>8936</v>
      </c>
      <c r="B11" t="s">
        <v>2131</v>
      </c>
      <c r="C11" s="46">
        <v>252365</v>
      </c>
      <c r="D11" s="46">
        <v>311850</v>
      </c>
      <c r="E11" s="46">
        <v>369237</v>
      </c>
      <c r="F11">
        <v>-19.07</v>
      </c>
      <c r="G11">
        <v>-31.65</v>
      </c>
      <c r="H11" s="46">
        <v>3786333</v>
      </c>
      <c r="I11" s="46">
        <v>3150831</v>
      </c>
      <c r="J11">
        <v>20.16</v>
      </c>
      <c r="K11">
        <v>0</v>
      </c>
    </row>
    <row r="12" spans="1:11" customFormat="1" hidden="1">
      <c r="A12">
        <v>8935</v>
      </c>
      <c r="B12" t="s">
        <v>536</v>
      </c>
      <c r="C12" s="46">
        <v>52598</v>
      </c>
      <c r="D12" s="46">
        <v>74074</v>
      </c>
      <c r="E12" s="46">
        <v>69488</v>
      </c>
      <c r="F12">
        <v>-28.99</v>
      </c>
      <c r="G12">
        <v>-24.3</v>
      </c>
      <c r="H12" s="46">
        <v>614734</v>
      </c>
      <c r="I12" s="46">
        <v>598540</v>
      </c>
      <c r="J12">
        <v>2.7</v>
      </c>
      <c r="K12">
        <v>0</v>
      </c>
    </row>
    <row r="13" spans="1:11" customFormat="1" hidden="1">
      <c r="A13">
        <v>8934</v>
      </c>
      <c r="B13" t="s">
        <v>1849</v>
      </c>
      <c r="C13" s="46">
        <v>59238</v>
      </c>
      <c r="D13" s="46">
        <v>53100</v>
      </c>
      <c r="E13" s="46">
        <v>50542</v>
      </c>
      <c r="F13">
        <v>11.55</v>
      </c>
      <c r="G13">
        <v>17.2</v>
      </c>
      <c r="H13" s="46">
        <v>557440</v>
      </c>
      <c r="I13" s="46">
        <v>564616</v>
      </c>
      <c r="J13">
        <v>-1.27</v>
      </c>
      <c r="K13" s="286">
        <v>1</v>
      </c>
    </row>
    <row r="14" spans="1:11" customFormat="1" hidden="1">
      <c r="A14">
        <v>8933</v>
      </c>
      <c r="B14" t="s">
        <v>1848</v>
      </c>
      <c r="C14" s="46">
        <v>538213</v>
      </c>
      <c r="D14" s="46">
        <v>689105</v>
      </c>
      <c r="E14" s="46">
        <v>319707</v>
      </c>
      <c r="F14">
        <v>-21.89</v>
      </c>
      <c r="G14">
        <v>68.34</v>
      </c>
      <c r="H14" s="46">
        <v>4992111</v>
      </c>
      <c r="I14" s="46">
        <v>3212062</v>
      </c>
      <c r="J14">
        <v>55.41</v>
      </c>
      <c r="K14">
        <v>1</v>
      </c>
    </row>
    <row r="15" spans="1:11" customFormat="1" hidden="1">
      <c r="A15">
        <v>8932</v>
      </c>
      <c r="B15" t="s">
        <v>2288</v>
      </c>
      <c r="C15" s="46">
        <v>81338</v>
      </c>
      <c r="D15" s="46">
        <v>91346</v>
      </c>
      <c r="E15" s="46">
        <v>66998</v>
      </c>
      <c r="F15">
        <v>-10.95</v>
      </c>
      <c r="G15">
        <v>21.4</v>
      </c>
      <c r="H15" s="46">
        <v>1037958</v>
      </c>
      <c r="I15" s="46">
        <v>998036</v>
      </c>
      <c r="J15">
        <v>4</v>
      </c>
      <c r="K15" s="286">
        <v>0</v>
      </c>
    </row>
    <row r="16" spans="1:11" customFormat="1" hidden="1">
      <c r="A16">
        <v>8931</v>
      </c>
      <c r="B16" t="s">
        <v>2110</v>
      </c>
      <c r="C16" s="46">
        <v>106998</v>
      </c>
      <c r="D16" s="46">
        <v>112873</v>
      </c>
      <c r="E16" s="46">
        <v>117751</v>
      </c>
      <c r="F16">
        <v>-5.2</v>
      </c>
      <c r="G16">
        <v>-9.1300000000000008</v>
      </c>
      <c r="H16" s="46">
        <v>1124854</v>
      </c>
      <c r="I16" s="46">
        <v>1162369</v>
      </c>
      <c r="J16">
        <v>-3.22</v>
      </c>
      <c r="K16" s="286">
        <v>0</v>
      </c>
    </row>
    <row r="17" spans="1:11" customFormat="1" hidden="1">
      <c r="A17">
        <v>8930</v>
      </c>
      <c r="B17" t="s">
        <v>535</v>
      </c>
      <c r="C17" s="46">
        <v>79129</v>
      </c>
      <c r="D17" s="46">
        <v>85675</v>
      </c>
      <c r="E17" s="46">
        <v>109377</v>
      </c>
      <c r="F17">
        <v>-7.64</v>
      </c>
      <c r="G17">
        <v>-27.65</v>
      </c>
      <c r="H17" s="46">
        <v>911109</v>
      </c>
      <c r="I17" s="46">
        <v>1168945</v>
      </c>
      <c r="J17">
        <v>-22.05</v>
      </c>
      <c r="K17" s="286">
        <v>0</v>
      </c>
    </row>
    <row r="18" spans="1:11" customFormat="1" hidden="1">
      <c r="A18">
        <v>8929</v>
      </c>
      <c r="B18" t="s">
        <v>534</v>
      </c>
      <c r="C18" s="46">
        <v>113319</v>
      </c>
      <c r="D18" s="46">
        <v>110517</v>
      </c>
      <c r="E18" s="46">
        <v>88200</v>
      </c>
      <c r="F18">
        <v>2.5299999999999998</v>
      </c>
      <c r="G18">
        <v>28.47</v>
      </c>
      <c r="H18" s="46">
        <v>1098725</v>
      </c>
      <c r="I18" s="46">
        <v>1005598</v>
      </c>
      <c r="J18">
        <v>9.26</v>
      </c>
      <c r="K18">
        <v>0</v>
      </c>
    </row>
    <row r="19" spans="1:11" customFormat="1" hidden="1">
      <c r="A19">
        <v>8928</v>
      </c>
      <c r="B19" t="s">
        <v>533</v>
      </c>
      <c r="C19" s="46">
        <v>173456</v>
      </c>
      <c r="D19" s="46">
        <v>199498</v>
      </c>
      <c r="E19" s="46">
        <v>259477</v>
      </c>
      <c r="F19">
        <v>-13.05</v>
      </c>
      <c r="G19">
        <v>-33.15</v>
      </c>
      <c r="H19" s="46">
        <v>1540515</v>
      </c>
      <c r="I19" s="46">
        <v>1601560</v>
      </c>
      <c r="J19">
        <v>-3.81</v>
      </c>
      <c r="K19" s="286">
        <v>1</v>
      </c>
    </row>
    <row r="20" spans="1:11" customFormat="1" hidden="1">
      <c r="A20">
        <v>8927</v>
      </c>
      <c r="B20" t="s">
        <v>532</v>
      </c>
      <c r="C20" s="46">
        <v>309888</v>
      </c>
      <c r="D20" s="46">
        <v>303654</v>
      </c>
      <c r="E20" s="46">
        <v>306966</v>
      </c>
      <c r="F20">
        <v>2.0499999999999998</v>
      </c>
      <c r="G20" s="276">
        <v>0.95</v>
      </c>
      <c r="H20" s="46">
        <v>2796155</v>
      </c>
      <c r="I20" s="46">
        <v>3343843</v>
      </c>
      <c r="J20">
        <v>-16.37</v>
      </c>
      <c r="K20" s="286">
        <v>1</v>
      </c>
    </row>
    <row r="21" spans="1:11" customFormat="1" hidden="1">
      <c r="A21">
        <v>8925</v>
      </c>
      <c r="B21" t="s">
        <v>1845</v>
      </c>
      <c r="C21" s="46">
        <v>73172</v>
      </c>
      <c r="D21" s="46">
        <v>105701</v>
      </c>
      <c r="E21" s="46">
        <v>202089</v>
      </c>
      <c r="F21">
        <v>-30.77</v>
      </c>
      <c r="G21">
        <v>-63.79</v>
      </c>
      <c r="H21" s="46">
        <v>1039533</v>
      </c>
      <c r="I21" s="46">
        <v>1724751</v>
      </c>
      <c r="J21">
        <v>-39.72</v>
      </c>
      <c r="K21">
        <v>0</v>
      </c>
    </row>
    <row r="22" spans="1:11" customFormat="1" hidden="1">
      <c r="A22">
        <v>8924</v>
      </c>
      <c r="B22" t="s">
        <v>2130</v>
      </c>
      <c r="C22" s="46">
        <v>549968</v>
      </c>
      <c r="D22" s="46">
        <v>450665</v>
      </c>
      <c r="E22" s="46">
        <v>545727</v>
      </c>
      <c r="F22">
        <v>22.03</v>
      </c>
      <c r="G22">
        <v>0.77</v>
      </c>
      <c r="H22" s="46">
        <v>3447478</v>
      </c>
      <c r="I22" s="46">
        <v>3297365</v>
      </c>
      <c r="J22">
        <v>4.55</v>
      </c>
      <c r="K22" s="286">
        <v>1</v>
      </c>
    </row>
    <row r="23" spans="1:11" customFormat="1" hidden="1">
      <c r="A23">
        <v>8923</v>
      </c>
      <c r="B23" t="s">
        <v>2299</v>
      </c>
      <c r="C23" s="46">
        <v>37981</v>
      </c>
      <c r="D23" s="46">
        <v>28752</v>
      </c>
      <c r="E23" s="46">
        <v>37183</v>
      </c>
      <c r="F23">
        <v>32.090000000000003</v>
      </c>
      <c r="G23">
        <v>2.14</v>
      </c>
      <c r="H23" s="46">
        <v>333131</v>
      </c>
      <c r="I23" s="46">
        <v>291286</v>
      </c>
      <c r="J23">
        <v>14.36</v>
      </c>
      <c r="K23" s="286">
        <v>1</v>
      </c>
    </row>
    <row r="24" spans="1:11" customFormat="1" hidden="1">
      <c r="A24">
        <v>8921</v>
      </c>
      <c r="B24" t="s">
        <v>2129</v>
      </c>
      <c r="C24" s="46">
        <v>61517</v>
      </c>
      <c r="D24" s="46">
        <v>61349</v>
      </c>
      <c r="E24" s="46">
        <v>67845</v>
      </c>
      <c r="F24">
        <v>0.27</v>
      </c>
      <c r="G24">
        <v>-9.32</v>
      </c>
      <c r="H24" s="46">
        <v>594282</v>
      </c>
      <c r="I24" s="46">
        <v>583092</v>
      </c>
      <c r="J24">
        <v>1.91</v>
      </c>
      <c r="K24" s="286">
        <v>0</v>
      </c>
    </row>
    <row r="25" spans="1:11" customFormat="1" hidden="1">
      <c r="A25">
        <v>8917</v>
      </c>
      <c r="B25" t="s">
        <v>531</v>
      </c>
      <c r="C25" s="46">
        <v>121284</v>
      </c>
      <c r="D25" s="46">
        <v>101754</v>
      </c>
      <c r="E25" s="46">
        <v>167101</v>
      </c>
      <c r="F25">
        <v>19.190000000000001</v>
      </c>
      <c r="G25">
        <v>-27.41</v>
      </c>
      <c r="H25" s="46">
        <v>1337487</v>
      </c>
      <c r="I25" s="46">
        <v>1682663</v>
      </c>
      <c r="J25">
        <v>-20.51</v>
      </c>
      <c r="K25" s="286">
        <v>0</v>
      </c>
    </row>
    <row r="26" spans="1:11" customFormat="1" hidden="1">
      <c r="A26">
        <v>8916</v>
      </c>
      <c r="B26" t="s">
        <v>530</v>
      </c>
      <c r="C26" s="46">
        <v>818950</v>
      </c>
      <c r="D26" s="46">
        <v>994831</v>
      </c>
      <c r="E26" s="46">
        <v>767711</v>
      </c>
      <c r="F26">
        <v>-17.670000000000002</v>
      </c>
      <c r="G26">
        <v>6.67</v>
      </c>
      <c r="H26" s="46">
        <v>7740401</v>
      </c>
      <c r="I26" s="46">
        <v>8056413</v>
      </c>
      <c r="J26">
        <v>-3.92</v>
      </c>
      <c r="K26">
        <v>1</v>
      </c>
    </row>
    <row r="27" spans="1:11" customFormat="1" hidden="1">
      <c r="A27">
        <v>8913</v>
      </c>
      <c r="B27" t="s">
        <v>529</v>
      </c>
      <c r="C27" s="46">
        <v>6315</v>
      </c>
      <c r="D27" s="46">
        <v>6025</v>
      </c>
      <c r="E27" s="46">
        <v>5461</v>
      </c>
      <c r="F27">
        <v>4.8099999999999996</v>
      </c>
      <c r="G27">
        <v>15.63</v>
      </c>
      <c r="H27" s="46">
        <v>59004</v>
      </c>
      <c r="I27" s="46">
        <v>54214</v>
      </c>
      <c r="J27">
        <v>8.83</v>
      </c>
      <c r="K27">
        <v>1</v>
      </c>
    </row>
    <row r="28" spans="1:11" customFormat="1" hidden="1">
      <c r="A28">
        <v>8908</v>
      </c>
      <c r="B28" t="s">
        <v>528</v>
      </c>
      <c r="C28" s="46">
        <v>436917</v>
      </c>
      <c r="D28" s="46">
        <v>427390</v>
      </c>
      <c r="E28" s="46">
        <v>456892</v>
      </c>
      <c r="F28">
        <v>2.2200000000000002</v>
      </c>
      <c r="G28">
        <v>-4.37</v>
      </c>
      <c r="H28" s="46">
        <v>4405554</v>
      </c>
      <c r="I28" s="46">
        <v>4971382</v>
      </c>
      <c r="J28">
        <v>-11.38</v>
      </c>
      <c r="K28" s="286">
        <v>0</v>
      </c>
    </row>
    <row r="29" spans="1:11" customFormat="1" hidden="1">
      <c r="A29">
        <v>8906</v>
      </c>
      <c r="B29" t="s">
        <v>2287</v>
      </c>
      <c r="C29" s="46">
        <v>20397</v>
      </c>
      <c r="D29" s="46">
        <v>24003</v>
      </c>
      <c r="E29" s="46">
        <v>13506</v>
      </c>
      <c r="F29">
        <v>-15.02</v>
      </c>
      <c r="G29">
        <v>51.02</v>
      </c>
      <c r="H29" s="46">
        <v>165982</v>
      </c>
      <c r="I29" s="46">
        <v>148643</v>
      </c>
      <c r="J29">
        <v>11.66</v>
      </c>
      <c r="K29" s="286">
        <v>1</v>
      </c>
    </row>
    <row r="30" spans="1:11" customFormat="1" hidden="1">
      <c r="A30">
        <v>8905</v>
      </c>
      <c r="B30" t="s">
        <v>2286</v>
      </c>
      <c r="C30" s="46">
        <v>144081</v>
      </c>
      <c r="D30" s="46">
        <v>196051</v>
      </c>
      <c r="E30" s="46">
        <v>481188</v>
      </c>
      <c r="F30">
        <v>-26.5</v>
      </c>
      <c r="G30">
        <v>-70.05</v>
      </c>
      <c r="H30" s="46">
        <v>1675025</v>
      </c>
      <c r="I30" s="46">
        <v>3129157</v>
      </c>
      <c r="J30">
        <v>-46.47</v>
      </c>
      <c r="K30" s="286">
        <v>0</v>
      </c>
    </row>
    <row r="31" spans="1:11" customFormat="1" hidden="1">
      <c r="A31">
        <v>8450</v>
      </c>
      <c r="B31" t="s">
        <v>527</v>
      </c>
      <c r="C31" s="46">
        <v>51128</v>
      </c>
      <c r="D31" s="46">
        <v>54172</v>
      </c>
      <c r="E31" s="46">
        <v>47768</v>
      </c>
      <c r="F31">
        <v>-5.61</v>
      </c>
      <c r="G31">
        <v>7.03</v>
      </c>
      <c r="H31" s="46">
        <v>531127</v>
      </c>
      <c r="I31" s="46">
        <v>550341</v>
      </c>
      <c r="J31">
        <v>-3.49</v>
      </c>
      <c r="K31" s="286">
        <v>0</v>
      </c>
    </row>
    <row r="32" spans="1:11" customFormat="1" hidden="1">
      <c r="A32">
        <v>8446</v>
      </c>
      <c r="B32" t="s">
        <v>2298</v>
      </c>
      <c r="C32" s="46">
        <v>98503</v>
      </c>
      <c r="D32" s="46">
        <v>96407</v>
      </c>
      <c r="E32" s="46">
        <v>77286</v>
      </c>
      <c r="F32">
        <v>2.17</v>
      </c>
      <c r="G32">
        <v>27.45</v>
      </c>
      <c r="H32" s="46">
        <v>837900</v>
      </c>
      <c r="I32" s="46">
        <v>774609</v>
      </c>
      <c r="J32">
        <v>8.17</v>
      </c>
      <c r="K32" s="286">
        <v>1</v>
      </c>
    </row>
    <row r="33" spans="1:11" customFormat="1" hidden="1">
      <c r="A33">
        <v>8436</v>
      </c>
      <c r="B33" t="s">
        <v>2002</v>
      </c>
      <c r="C33" s="46">
        <v>176534</v>
      </c>
      <c r="D33" s="46">
        <v>192961</v>
      </c>
      <c r="E33" s="46">
        <v>115698</v>
      </c>
      <c r="F33">
        <v>-8.51</v>
      </c>
      <c r="G33">
        <v>52.58</v>
      </c>
      <c r="H33" s="46">
        <v>1644470</v>
      </c>
      <c r="I33" s="46">
        <v>1158233</v>
      </c>
      <c r="J33">
        <v>41.98</v>
      </c>
      <c r="K33">
        <v>1</v>
      </c>
    </row>
    <row r="34" spans="1:11" customFormat="1" hidden="1">
      <c r="A34">
        <v>8435</v>
      </c>
      <c r="B34" t="s">
        <v>526</v>
      </c>
      <c r="C34" s="46">
        <v>50184</v>
      </c>
      <c r="D34" s="46">
        <v>51999</v>
      </c>
      <c r="E34" s="46">
        <v>54522</v>
      </c>
      <c r="F34">
        <v>-3.49</v>
      </c>
      <c r="G34">
        <v>-7.95</v>
      </c>
      <c r="H34" s="46">
        <v>523427</v>
      </c>
      <c r="I34" s="46">
        <v>519386</v>
      </c>
      <c r="J34">
        <v>0.77</v>
      </c>
      <c r="K34">
        <v>0</v>
      </c>
    </row>
    <row r="35" spans="1:11" customFormat="1">
      <c r="A35" s="62" t="str">
        <f>HYPERLINK("http://tw.stock.yahoo.com/q/ta?s=3707","3707")</f>
        <v>3707</v>
      </c>
      <c r="B35" s="62" t="str">
        <f>HYPERLINK("http://tw.stock.yahoo.com/d/s/earning_3707.html","漢磊")</f>
        <v>漢磊</v>
      </c>
      <c r="C35" s="46">
        <v>285384</v>
      </c>
      <c r="D35" s="46">
        <v>265507</v>
      </c>
      <c r="E35" s="46">
        <v>241487</v>
      </c>
      <c r="F35">
        <v>7.48</v>
      </c>
      <c r="G35">
        <v>18.170000000000002</v>
      </c>
      <c r="H35" s="46">
        <v>2690403</v>
      </c>
      <c r="I35" s="46">
        <v>241487</v>
      </c>
      <c r="J35" s="276">
        <v>1014.09</v>
      </c>
      <c r="K35" s="286">
        <v>1</v>
      </c>
    </row>
    <row r="36" spans="1:11" customFormat="1" hidden="1">
      <c r="A36">
        <v>8432</v>
      </c>
      <c r="B36" t="s">
        <v>524</v>
      </c>
      <c r="C36" s="46">
        <v>45635</v>
      </c>
      <c r="D36" s="46">
        <v>37614</v>
      </c>
      <c r="E36" s="46">
        <v>48710</v>
      </c>
      <c r="F36">
        <v>21.32</v>
      </c>
      <c r="G36">
        <v>-6.31</v>
      </c>
      <c r="H36" s="46">
        <v>434618</v>
      </c>
      <c r="I36" s="46">
        <v>468618</v>
      </c>
      <c r="J36">
        <v>-7.25</v>
      </c>
      <c r="K36">
        <v>1</v>
      </c>
    </row>
    <row r="37" spans="1:11" customFormat="1" hidden="1">
      <c r="A37">
        <v>8431</v>
      </c>
      <c r="B37" t="s">
        <v>523</v>
      </c>
      <c r="C37" s="46">
        <v>56298</v>
      </c>
      <c r="D37" s="46">
        <v>54866</v>
      </c>
      <c r="E37" s="46">
        <v>90359</v>
      </c>
      <c r="F37">
        <v>2.6</v>
      </c>
      <c r="G37">
        <v>-37.69</v>
      </c>
      <c r="H37" s="46">
        <v>707565</v>
      </c>
      <c r="I37" s="46">
        <v>776520</v>
      </c>
      <c r="J37">
        <v>-8.8800000000000008</v>
      </c>
      <c r="K37" s="286">
        <v>0</v>
      </c>
    </row>
    <row r="38" spans="1:11" customFormat="1" hidden="1">
      <c r="A38">
        <v>8424</v>
      </c>
      <c r="B38" t="s">
        <v>522</v>
      </c>
      <c r="C38" s="46">
        <v>74641</v>
      </c>
      <c r="D38" s="46">
        <v>70416</v>
      </c>
      <c r="E38" s="46">
        <v>72722</v>
      </c>
      <c r="F38">
        <v>6</v>
      </c>
      <c r="G38">
        <v>2.63</v>
      </c>
      <c r="H38" s="46">
        <v>705267</v>
      </c>
      <c r="I38" s="46">
        <v>717736</v>
      </c>
      <c r="J38">
        <v>-1.73</v>
      </c>
      <c r="K38" s="286">
        <v>1</v>
      </c>
    </row>
    <row r="39" spans="1:11" customFormat="1" hidden="1">
      <c r="A39">
        <v>8421</v>
      </c>
      <c r="B39" t="s">
        <v>521</v>
      </c>
      <c r="C39" s="46">
        <v>87987</v>
      </c>
      <c r="D39" s="46">
        <v>81813</v>
      </c>
      <c r="E39" s="46">
        <v>79086</v>
      </c>
      <c r="F39">
        <v>7.54</v>
      </c>
      <c r="G39">
        <v>11.25</v>
      </c>
      <c r="H39" s="46">
        <v>886053</v>
      </c>
      <c r="I39" s="46">
        <v>817836</v>
      </c>
      <c r="J39">
        <v>8.34</v>
      </c>
      <c r="K39">
        <v>0</v>
      </c>
    </row>
    <row r="40" spans="1:11" customFormat="1" hidden="1">
      <c r="A40">
        <v>8420</v>
      </c>
      <c r="B40" t="s">
        <v>520</v>
      </c>
      <c r="C40" s="46">
        <v>91482</v>
      </c>
      <c r="D40" s="46">
        <v>100825</v>
      </c>
      <c r="E40" s="46">
        <v>69934</v>
      </c>
      <c r="F40">
        <v>-9.26</v>
      </c>
      <c r="G40">
        <v>30.81</v>
      </c>
      <c r="H40" s="46">
        <v>1039341</v>
      </c>
      <c r="I40" s="46">
        <v>885838</v>
      </c>
      <c r="J40">
        <v>17.32</v>
      </c>
      <c r="K40">
        <v>0</v>
      </c>
    </row>
    <row r="41" spans="1:11" customFormat="1" hidden="1">
      <c r="A41">
        <v>8416</v>
      </c>
      <c r="B41" t="s">
        <v>519</v>
      </c>
      <c r="C41" s="46">
        <v>84518</v>
      </c>
      <c r="D41" s="46">
        <v>56926</v>
      </c>
      <c r="E41" s="46">
        <v>61465</v>
      </c>
      <c r="F41">
        <v>48.46</v>
      </c>
      <c r="G41">
        <v>37.5</v>
      </c>
      <c r="H41" s="46">
        <v>651395</v>
      </c>
      <c r="I41" s="46">
        <v>618781</v>
      </c>
      <c r="J41">
        <v>5.27</v>
      </c>
      <c r="K41">
        <v>1</v>
      </c>
    </row>
    <row r="42" spans="1:11" customFormat="1" hidden="1">
      <c r="A42">
        <v>8410</v>
      </c>
      <c r="B42" t="s">
        <v>518</v>
      </c>
      <c r="C42" s="46">
        <v>79499</v>
      </c>
      <c r="D42" s="46">
        <v>67368</v>
      </c>
      <c r="E42" s="46">
        <v>88463</v>
      </c>
      <c r="F42">
        <v>18</v>
      </c>
      <c r="G42">
        <v>-10.130000000000001</v>
      </c>
      <c r="H42" s="46">
        <v>526810</v>
      </c>
      <c r="I42" s="46">
        <v>807578</v>
      </c>
      <c r="J42">
        <v>-34.76</v>
      </c>
      <c r="K42" s="286">
        <v>1</v>
      </c>
    </row>
    <row r="43" spans="1:11" customFormat="1" hidden="1">
      <c r="A43">
        <v>8409</v>
      </c>
      <c r="B43" t="s">
        <v>1833</v>
      </c>
      <c r="C43" s="46">
        <v>16032</v>
      </c>
      <c r="D43" s="46">
        <v>38733</v>
      </c>
      <c r="E43" s="46">
        <v>13573</v>
      </c>
      <c r="F43">
        <v>-58.6</v>
      </c>
      <c r="G43">
        <v>18.11</v>
      </c>
      <c r="H43" s="46">
        <v>183882</v>
      </c>
      <c r="I43" s="46">
        <v>122813</v>
      </c>
      <c r="J43">
        <v>49.72</v>
      </c>
      <c r="K43">
        <v>0</v>
      </c>
    </row>
    <row r="44" spans="1:11" customFormat="1" hidden="1">
      <c r="A44">
        <v>8403</v>
      </c>
      <c r="B44" t="s">
        <v>2175</v>
      </c>
      <c r="C44" s="46">
        <v>202360</v>
      </c>
      <c r="D44" s="46">
        <v>170528</v>
      </c>
      <c r="E44" s="46">
        <v>162034</v>
      </c>
      <c r="F44">
        <v>18.66</v>
      </c>
      <c r="G44">
        <v>24.88</v>
      </c>
      <c r="H44" s="46">
        <v>1754881</v>
      </c>
      <c r="I44" s="46">
        <v>1630808</v>
      </c>
      <c r="J44">
        <v>7.6</v>
      </c>
      <c r="K44">
        <v>1</v>
      </c>
    </row>
    <row r="45" spans="1:11" customFormat="1" hidden="1">
      <c r="A45">
        <v>8401</v>
      </c>
      <c r="B45" t="s">
        <v>2128</v>
      </c>
      <c r="C45" s="46">
        <v>122398</v>
      </c>
      <c r="D45" s="46">
        <v>103550</v>
      </c>
      <c r="E45" s="46">
        <v>150929</v>
      </c>
      <c r="F45">
        <v>18.2</v>
      </c>
      <c r="G45">
        <v>-18.899999999999999</v>
      </c>
      <c r="H45" s="46">
        <v>1089489</v>
      </c>
      <c r="I45" s="46">
        <v>1133171</v>
      </c>
      <c r="J45">
        <v>-3.85</v>
      </c>
      <c r="K45">
        <v>1</v>
      </c>
    </row>
    <row r="46" spans="1:11" customFormat="1" hidden="1">
      <c r="A46">
        <v>8390</v>
      </c>
      <c r="B46" t="s">
        <v>1829</v>
      </c>
      <c r="C46" s="46">
        <v>237556</v>
      </c>
      <c r="D46" s="46">
        <v>265672</v>
      </c>
      <c r="E46" s="46">
        <v>292354</v>
      </c>
      <c r="F46">
        <v>-10.58</v>
      </c>
      <c r="G46">
        <v>-18.739999999999998</v>
      </c>
      <c r="H46" s="46">
        <v>2595598</v>
      </c>
      <c r="I46" s="46">
        <v>3180376</v>
      </c>
      <c r="J46">
        <v>-18.38</v>
      </c>
      <c r="K46" s="286">
        <v>0</v>
      </c>
    </row>
    <row r="47" spans="1:11" customFormat="1" hidden="1">
      <c r="A47">
        <v>8383</v>
      </c>
      <c r="B47" t="s">
        <v>517</v>
      </c>
      <c r="C47" s="46">
        <v>319102</v>
      </c>
      <c r="D47" s="46">
        <v>310455</v>
      </c>
      <c r="E47" s="46">
        <v>259232</v>
      </c>
      <c r="F47">
        <v>2.78</v>
      </c>
      <c r="G47">
        <v>23.09</v>
      </c>
      <c r="H47" s="46">
        <v>2546500</v>
      </c>
      <c r="I47" s="46">
        <v>2481167</v>
      </c>
      <c r="J47">
        <v>2.63</v>
      </c>
      <c r="K47" s="286">
        <v>1</v>
      </c>
    </row>
    <row r="48" spans="1:11" customFormat="1" hidden="1">
      <c r="A48">
        <v>8358</v>
      </c>
      <c r="B48" t="s">
        <v>2095</v>
      </c>
      <c r="C48" s="46">
        <v>377007</v>
      </c>
      <c r="D48" s="46">
        <v>408630</v>
      </c>
      <c r="E48" s="46">
        <v>300968</v>
      </c>
      <c r="F48">
        <v>-7.73</v>
      </c>
      <c r="G48">
        <v>25.26</v>
      </c>
      <c r="H48" s="46">
        <v>3531256</v>
      </c>
      <c r="I48" s="46">
        <v>3392426</v>
      </c>
      <c r="J48">
        <v>4.09</v>
      </c>
      <c r="K48" s="286">
        <v>1</v>
      </c>
    </row>
    <row r="49" spans="1:11" customFormat="1" hidden="1">
      <c r="A49">
        <v>8354</v>
      </c>
      <c r="B49" t="s">
        <v>2153</v>
      </c>
      <c r="C49" s="46">
        <v>81104</v>
      </c>
      <c r="D49" s="46">
        <v>74502</v>
      </c>
      <c r="E49" s="46">
        <v>136211</v>
      </c>
      <c r="F49">
        <v>8.86</v>
      </c>
      <c r="G49">
        <v>-40.450000000000003</v>
      </c>
      <c r="H49" s="46">
        <v>789556</v>
      </c>
      <c r="I49" s="46">
        <v>942957</v>
      </c>
      <c r="J49">
        <v>-16.260000000000002</v>
      </c>
      <c r="K49">
        <v>0</v>
      </c>
    </row>
    <row r="50" spans="1:11" customFormat="1" hidden="1">
      <c r="A50">
        <v>8349</v>
      </c>
      <c r="B50" t="s">
        <v>2178</v>
      </c>
      <c r="C50" s="46">
        <v>782909</v>
      </c>
      <c r="D50" s="46">
        <v>793600</v>
      </c>
      <c r="E50" s="46">
        <v>876667</v>
      </c>
      <c r="F50">
        <v>-1.34</v>
      </c>
      <c r="G50">
        <v>-10.69</v>
      </c>
      <c r="H50" s="46">
        <v>7988317</v>
      </c>
      <c r="I50" s="46">
        <v>5143249</v>
      </c>
      <c r="J50">
        <v>55.31</v>
      </c>
      <c r="K50">
        <v>0</v>
      </c>
    </row>
    <row r="51" spans="1:11" customFormat="1" hidden="1">
      <c r="A51">
        <v>8299</v>
      </c>
      <c r="B51" t="s">
        <v>2037</v>
      </c>
      <c r="C51" s="46">
        <v>4170476</v>
      </c>
      <c r="D51" s="46">
        <v>3491055</v>
      </c>
      <c r="E51" s="46">
        <v>3120819</v>
      </c>
      <c r="F51">
        <v>19.46</v>
      </c>
      <c r="G51">
        <v>33.630000000000003</v>
      </c>
      <c r="H51" s="46">
        <v>30987926</v>
      </c>
      <c r="I51" s="46">
        <v>27427777</v>
      </c>
      <c r="J51">
        <v>12.98</v>
      </c>
      <c r="K51">
        <v>1</v>
      </c>
    </row>
    <row r="52" spans="1:11" customFormat="1" hidden="1">
      <c r="A52">
        <v>8291</v>
      </c>
      <c r="B52" t="s">
        <v>2148</v>
      </c>
      <c r="C52" s="46">
        <v>54633</v>
      </c>
      <c r="D52" s="46">
        <v>41665</v>
      </c>
      <c r="E52" s="46">
        <v>44927</v>
      </c>
      <c r="F52">
        <v>31.12</v>
      </c>
      <c r="G52">
        <v>21.6</v>
      </c>
      <c r="H52" s="46">
        <v>450217</v>
      </c>
      <c r="I52" s="46">
        <v>501645</v>
      </c>
      <c r="J52">
        <v>-10.25</v>
      </c>
      <c r="K52" s="286">
        <v>1</v>
      </c>
    </row>
    <row r="53" spans="1:11" customFormat="1" hidden="1">
      <c r="A53">
        <v>8289</v>
      </c>
      <c r="B53" t="s">
        <v>2247</v>
      </c>
      <c r="C53" s="46">
        <v>117422</v>
      </c>
      <c r="D53" s="46">
        <v>139983</v>
      </c>
      <c r="E53" s="46">
        <v>139692</v>
      </c>
      <c r="F53">
        <v>-16.11</v>
      </c>
      <c r="G53">
        <v>-15.94</v>
      </c>
      <c r="H53" s="46">
        <v>1330331</v>
      </c>
      <c r="I53" s="46">
        <v>1339982</v>
      </c>
      <c r="J53">
        <v>-0.72</v>
      </c>
      <c r="K53">
        <v>0</v>
      </c>
    </row>
    <row r="54" spans="1:11" customFormat="1" hidden="1">
      <c r="A54">
        <v>8287</v>
      </c>
      <c r="B54" t="s">
        <v>2246</v>
      </c>
      <c r="C54" s="46">
        <v>1368774</v>
      </c>
      <c r="D54" s="46">
        <v>1311237</v>
      </c>
      <c r="E54" s="46">
        <v>1043027</v>
      </c>
      <c r="F54">
        <v>4.38</v>
      </c>
      <c r="G54">
        <v>31.23</v>
      </c>
      <c r="H54" s="46">
        <v>12938471</v>
      </c>
      <c r="I54" s="46">
        <v>10005308</v>
      </c>
      <c r="J54">
        <v>29.31</v>
      </c>
      <c r="K54">
        <v>1</v>
      </c>
    </row>
    <row r="55" spans="1:11" customFormat="1" hidden="1">
      <c r="A55">
        <v>8277</v>
      </c>
      <c r="B55" t="s">
        <v>2029</v>
      </c>
      <c r="C55" s="46">
        <v>61716</v>
      </c>
      <c r="D55" s="46">
        <v>36587</v>
      </c>
      <c r="E55" s="46">
        <v>82570</v>
      </c>
      <c r="F55">
        <v>68.680000000000007</v>
      </c>
      <c r="G55">
        <v>-25.25</v>
      </c>
      <c r="H55" s="46">
        <v>476623</v>
      </c>
      <c r="I55" s="46">
        <v>1266724</v>
      </c>
      <c r="J55">
        <v>-62.37</v>
      </c>
      <c r="K55" s="286">
        <v>1</v>
      </c>
    </row>
    <row r="56" spans="1:11" customFormat="1">
      <c r="A56" s="62" t="str">
        <f>HYPERLINK("http://tw.stock.yahoo.com/q/ta?s=6103","6103")</f>
        <v>6103</v>
      </c>
      <c r="B56" s="62" t="str">
        <f>HYPERLINK("http://tw.stock.yahoo.com/d/s/earning_6103.html","合邦電子")</f>
        <v>合邦電子</v>
      </c>
      <c r="C56" s="46">
        <v>66036</v>
      </c>
      <c r="D56" s="46">
        <v>52576</v>
      </c>
      <c r="E56" s="46">
        <v>2903</v>
      </c>
      <c r="F56">
        <v>25.6</v>
      </c>
      <c r="G56" s="276">
        <v>2174.75</v>
      </c>
      <c r="H56" s="46">
        <v>354321</v>
      </c>
      <c r="I56" s="46">
        <v>36377</v>
      </c>
      <c r="J56" s="276">
        <v>874.02</v>
      </c>
      <c r="K56" s="286">
        <v>1</v>
      </c>
    </row>
    <row r="57" spans="1:11" customFormat="1" hidden="1">
      <c r="A57">
        <v>8255</v>
      </c>
      <c r="B57" t="s">
        <v>1980</v>
      </c>
      <c r="C57" s="46">
        <v>297769</v>
      </c>
      <c r="D57" s="46">
        <v>276975</v>
      </c>
      <c r="E57" s="46">
        <v>299964</v>
      </c>
      <c r="F57">
        <v>7.5</v>
      </c>
      <c r="G57">
        <v>-0.73</v>
      </c>
      <c r="H57" s="46">
        <v>2940201</v>
      </c>
      <c r="I57" s="46">
        <v>2944733</v>
      </c>
      <c r="J57">
        <v>-0.15</v>
      </c>
      <c r="K57" s="286">
        <v>0</v>
      </c>
    </row>
    <row r="58" spans="1:11" customFormat="1" hidden="1">
      <c r="A58">
        <v>8240</v>
      </c>
      <c r="B58" t="s">
        <v>2047</v>
      </c>
      <c r="C58" s="46">
        <v>855070</v>
      </c>
      <c r="D58" s="46">
        <v>902533</v>
      </c>
      <c r="E58" s="46">
        <v>1080743</v>
      </c>
      <c r="F58">
        <v>-5.25</v>
      </c>
      <c r="G58">
        <v>-20.88</v>
      </c>
      <c r="H58" s="46">
        <v>7970238</v>
      </c>
      <c r="I58" s="46">
        <v>10417980</v>
      </c>
      <c r="J58">
        <v>-23.49</v>
      </c>
      <c r="K58">
        <v>1</v>
      </c>
    </row>
    <row r="59" spans="1:11" customFormat="1" hidden="1">
      <c r="A59">
        <v>8234</v>
      </c>
      <c r="B59" t="s">
        <v>516</v>
      </c>
      <c r="C59" s="46">
        <v>484542</v>
      </c>
      <c r="D59" s="46">
        <v>446593</v>
      </c>
      <c r="E59" s="46">
        <v>449930</v>
      </c>
      <c r="F59">
        <v>8.49</v>
      </c>
      <c r="G59">
        <v>7.69</v>
      </c>
      <c r="H59" s="46">
        <v>4439901</v>
      </c>
      <c r="I59" s="46">
        <v>4392311</v>
      </c>
      <c r="J59">
        <v>1.08</v>
      </c>
      <c r="K59" s="286">
        <v>1</v>
      </c>
    </row>
    <row r="60" spans="1:11" customFormat="1" hidden="1">
      <c r="A60">
        <v>8183</v>
      </c>
      <c r="B60" t="s">
        <v>2274</v>
      </c>
      <c r="C60" s="46">
        <v>261952</v>
      </c>
      <c r="D60" s="46">
        <v>240609</v>
      </c>
      <c r="E60" s="46">
        <v>305976</v>
      </c>
      <c r="F60">
        <v>8.8699999999999992</v>
      </c>
      <c r="G60">
        <v>-14.38</v>
      </c>
      <c r="H60" s="46">
        <v>2121521</v>
      </c>
      <c r="I60" s="46">
        <v>2694496</v>
      </c>
      <c r="J60">
        <v>-21.26</v>
      </c>
      <c r="K60" s="286">
        <v>1</v>
      </c>
    </row>
    <row r="61" spans="1:11" customFormat="1" hidden="1">
      <c r="A61">
        <v>8182</v>
      </c>
      <c r="B61" t="s">
        <v>2245</v>
      </c>
      <c r="C61" s="46">
        <v>278210</v>
      </c>
      <c r="D61" s="46">
        <v>254898</v>
      </c>
      <c r="E61" s="46">
        <v>267638</v>
      </c>
      <c r="F61">
        <v>9.14</v>
      </c>
      <c r="G61">
        <v>3.95</v>
      </c>
      <c r="H61" s="46">
        <v>2303410</v>
      </c>
      <c r="I61" s="46">
        <v>2403319</v>
      </c>
      <c r="J61">
        <v>-4.1500000000000004</v>
      </c>
      <c r="K61" s="286">
        <v>1</v>
      </c>
    </row>
    <row r="62" spans="1:11" customFormat="1" hidden="1">
      <c r="A62">
        <v>8176</v>
      </c>
      <c r="B62" t="s">
        <v>1815</v>
      </c>
      <c r="C62" s="46">
        <v>138268</v>
      </c>
      <c r="D62" s="46">
        <v>128203</v>
      </c>
      <c r="E62" s="46">
        <v>106325</v>
      </c>
      <c r="F62">
        <v>7.85</v>
      </c>
      <c r="G62">
        <v>30.04</v>
      </c>
      <c r="H62" s="46">
        <v>1058579</v>
      </c>
      <c r="I62" s="46">
        <v>997124</v>
      </c>
      <c r="J62">
        <v>6.16</v>
      </c>
      <c r="K62">
        <v>1</v>
      </c>
    </row>
    <row r="63" spans="1:11" customFormat="1" hidden="1">
      <c r="A63">
        <v>8171</v>
      </c>
      <c r="B63" t="s">
        <v>2057</v>
      </c>
      <c r="C63" s="46">
        <v>206497</v>
      </c>
      <c r="D63" s="46">
        <v>216658</v>
      </c>
      <c r="E63" s="46">
        <v>253773</v>
      </c>
      <c r="F63">
        <v>-4.68</v>
      </c>
      <c r="G63">
        <v>-18.62</v>
      </c>
      <c r="H63" s="46">
        <v>1926260</v>
      </c>
      <c r="I63" s="46">
        <v>2704335</v>
      </c>
      <c r="J63">
        <v>-28.77</v>
      </c>
      <c r="K63">
        <v>1</v>
      </c>
    </row>
    <row r="64" spans="1:11" customFormat="1" hidden="1">
      <c r="A64">
        <v>8155</v>
      </c>
      <c r="B64" t="s">
        <v>2094</v>
      </c>
      <c r="C64" s="46">
        <v>120761</v>
      </c>
      <c r="D64" s="46">
        <v>111950</v>
      </c>
      <c r="E64" s="46">
        <v>151016</v>
      </c>
      <c r="F64">
        <v>7.87</v>
      </c>
      <c r="G64">
        <v>-20.03</v>
      </c>
      <c r="H64" s="46">
        <v>1281281</v>
      </c>
      <c r="I64" s="46">
        <v>1465324</v>
      </c>
      <c r="J64">
        <v>-12.55</v>
      </c>
      <c r="K64">
        <v>0</v>
      </c>
    </row>
    <row r="65" spans="1:11" customFormat="1" hidden="1">
      <c r="A65">
        <v>8147</v>
      </c>
      <c r="B65" t="s">
        <v>2244</v>
      </c>
      <c r="C65" s="46">
        <v>68309</v>
      </c>
      <c r="D65" s="46">
        <v>63113</v>
      </c>
      <c r="E65" s="46">
        <v>53151</v>
      </c>
      <c r="F65">
        <v>8.23</v>
      </c>
      <c r="G65">
        <v>28.51</v>
      </c>
      <c r="H65" s="46">
        <v>673914</v>
      </c>
      <c r="I65" s="46">
        <v>597533</v>
      </c>
      <c r="J65">
        <v>12.78</v>
      </c>
      <c r="K65">
        <v>0</v>
      </c>
    </row>
    <row r="66" spans="1:11" customFormat="1" hidden="1">
      <c r="A66">
        <v>8121</v>
      </c>
      <c r="B66" t="s">
        <v>2093</v>
      </c>
      <c r="C66" s="46">
        <v>181033</v>
      </c>
      <c r="D66" s="46">
        <v>193747</v>
      </c>
      <c r="E66" s="46">
        <v>238928</v>
      </c>
      <c r="F66">
        <v>-6.56</v>
      </c>
      <c r="G66" s="276">
        <v>-24.23</v>
      </c>
      <c r="H66" s="46">
        <v>2023122</v>
      </c>
      <c r="I66" s="46">
        <v>2370638</v>
      </c>
      <c r="J66" s="276">
        <v>-14.65</v>
      </c>
      <c r="K66">
        <v>0</v>
      </c>
    </row>
    <row r="67" spans="1:11" customFormat="1" hidden="1">
      <c r="A67">
        <v>8111</v>
      </c>
      <c r="B67" t="s">
        <v>2046</v>
      </c>
      <c r="C67" s="46">
        <v>53476</v>
      </c>
      <c r="D67" s="46">
        <v>60872</v>
      </c>
      <c r="E67" s="46">
        <v>79824</v>
      </c>
      <c r="F67">
        <v>-12.15</v>
      </c>
      <c r="G67">
        <v>-33</v>
      </c>
      <c r="H67" s="46">
        <v>660146</v>
      </c>
      <c r="I67" s="46">
        <v>796118</v>
      </c>
      <c r="J67">
        <v>-17.07</v>
      </c>
      <c r="K67">
        <v>0</v>
      </c>
    </row>
    <row r="68" spans="1:11" customFormat="1" hidden="1">
      <c r="A68">
        <v>8109</v>
      </c>
      <c r="B68" t="s">
        <v>2092</v>
      </c>
      <c r="C68" s="46">
        <v>86735</v>
      </c>
      <c r="D68" s="46">
        <v>86235</v>
      </c>
      <c r="E68" s="46">
        <v>87483</v>
      </c>
      <c r="F68">
        <v>0.56999999999999995</v>
      </c>
      <c r="G68">
        <v>-0.85</v>
      </c>
      <c r="H68" s="46">
        <v>772702</v>
      </c>
      <c r="I68" s="46">
        <v>748721</v>
      </c>
      <c r="J68">
        <v>3.2</v>
      </c>
      <c r="K68">
        <v>1</v>
      </c>
    </row>
    <row r="69" spans="1:11" customFormat="1" hidden="1">
      <c r="A69">
        <v>8107</v>
      </c>
      <c r="B69" t="s">
        <v>515</v>
      </c>
      <c r="C69" s="46">
        <v>79691</v>
      </c>
      <c r="D69" s="46">
        <v>85064</v>
      </c>
      <c r="E69" s="46">
        <v>109445</v>
      </c>
      <c r="F69">
        <v>-6.31</v>
      </c>
      <c r="G69">
        <v>-27.18</v>
      </c>
      <c r="H69" s="46">
        <v>785916</v>
      </c>
      <c r="I69" s="46">
        <v>2232122</v>
      </c>
      <c r="J69">
        <v>-64.790000000000006</v>
      </c>
      <c r="K69">
        <v>0</v>
      </c>
    </row>
    <row r="70" spans="1:11" customFormat="1" hidden="1">
      <c r="A70">
        <v>8099</v>
      </c>
      <c r="B70" t="s">
        <v>2101</v>
      </c>
      <c r="C70" s="46">
        <v>251034</v>
      </c>
      <c r="D70" s="46">
        <v>255154</v>
      </c>
      <c r="E70" s="46">
        <v>311497</v>
      </c>
      <c r="F70">
        <v>-1.61</v>
      </c>
      <c r="G70">
        <v>-19.41</v>
      </c>
      <c r="H70" s="46">
        <v>2783389</v>
      </c>
      <c r="I70" s="46">
        <v>2777420</v>
      </c>
      <c r="J70">
        <v>0.21</v>
      </c>
      <c r="K70" s="286">
        <v>0</v>
      </c>
    </row>
    <row r="71" spans="1:11" customFormat="1" hidden="1">
      <c r="A71">
        <v>8097</v>
      </c>
      <c r="B71" t="s">
        <v>2226</v>
      </c>
      <c r="C71" s="46">
        <v>3720</v>
      </c>
      <c r="D71" s="46">
        <v>6138</v>
      </c>
      <c r="E71" s="46">
        <v>10502</v>
      </c>
      <c r="F71">
        <v>-39.39</v>
      </c>
      <c r="G71">
        <v>-64.569999999999993</v>
      </c>
      <c r="H71" s="46">
        <v>52106</v>
      </c>
      <c r="I71" s="46">
        <v>68671</v>
      </c>
      <c r="J71">
        <v>-24.12</v>
      </c>
      <c r="K71">
        <v>0</v>
      </c>
    </row>
    <row r="72" spans="1:11" customFormat="1">
      <c r="A72" s="62" t="str">
        <f>HYPERLINK("http://tw.stock.yahoo.com/q/ta?s=5364","5364")</f>
        <v>5364</v>
      </c>
      <c r="B72" s="62" t="str">
        <f>HYPERLINK("http://tw.stock.yahoo.com/d/s/earning_5364.html","力麗店")</f>
        <v>力麗店</v>
      </c>
      <c r="C72" s="46">
        <v>43312</v>
      </c>
      <c r="D72" s="46">
        <v>37610</v>
      </c>
      <c r="E72" s="46">
        <v>15657</v>
      </c>
      <c r="F72">
        <v>15.16</v>
      </c>
      <c r="G72">
        <v>176.63</v>
      </c>
      <c r="H72" s="46">
        <v>360480</v>
      </c>
      <c r="I72" s="46">
        <v>95667</v>
      </c>
      <c r="J72">
        <v>276.8</v>
      </c>
      <c r="K72">
        <v>1</v>
      </c>
    </row>
    <row r="73" spans="1:11" customFormat="1" hidden="1">
      <c r="A73">
        <v>8093</v>
      </c>
      <c r="B73" t="s">
        <v>2243</v>
      </c>
      <c r="C73" s="46">
        <v>50395</v>
      </c>
      <c r="D73" s="46">
        <v>46177</v>
      </c>
      <c r="E73" s="46">
        <v>53828</v>
      </c>
      <c r="F73">
        <v>9.1300000000000008</v>
      </c>
      <c r="G73">
        <v>-6.37</v>
      </c>
      <c r="H73" s="46">
        <v>442890</v>
      </c>
      <c r="I73" s="46">
        <v>672574</v>
      </c>
      <c r="J73">
        <v>-34.14</v>
      </c>
      <c r="K73" s="286">
        <v>1</v>
      </c>
    </row>
    <row r="74" spans="1:11" customFormat="1" hidden="1">
      <c r="A74">
        <v>8092</v>
      </c>
      <c r="B74" t="s">
        <v>2273</v>
      </c>
      <c r="C74" s="46">
        <v>33807</v>
      </c>
      <c r="D74" s="46">
        <v>20753</v>
      </c>
      <c r="E74" s="46">
        <v>36005</v>
      </c>
      <c r="F74">
        <v>62.9</v>
      </c>
      <c r="G74">
        <v>-6.1</v>
      </c>
      <c r="H74" s="46">
        <v>341879</v>
      </c>
      <c r="I74" s="46">
        <v>341207</v>
      </c>
      <c r="J74">
        <v>0.19</v>
      </c>
      <c r="K74" s="286">
        <v>0</v>
      </c>
    </row>
    <row r="75" spans="1:11" customFormat="1">
      <c r="A75" s="62" t="str">
        <f>HYPERLINK("http://tw.stock.yahoo.com/q/ta?s=4415","4415")</f>
        <v>4415</v>
      </c>
      <c r="B75" s="62" t="str">
        <f>HYPERLINK("http://tw.stock.yahoo.com/d/s/earning_4415.html","台原藥")</f>
        <v>台原藥</v>
      </c>
      <c r="C75" s="46">
        <v>14800</v>
      </c>
      <c r="D75" s="46">
        <v>13879</v>
      </c>
      <c r="E75" s="46">
        <v>88</v>
      </c>
      <c r="F75">
        <v>6.63</v>
      </c>
      <c r="G75" s="276">
        <v>16718.18</v>
      </c>
      <c r="H75" s="46">
        <v>53877</v>
      </c>
      <c r="I75" s="46">
        <v>17457</v>
      </c>
      <c r="J75">
        <v>208.62</v>
      </c>
      <c r="K75" s="286">
        <v>1</v>
      </c>
    </row>
    <row r="76" spans="1:11" customFormat="1" hidden="1">
      <c r="A76">
        <v>8088</v>
      </c>
      <c r="B76" t="s">
        <v>514</v>
      </c>
      <c r="C76" s="46">
        <v>165809</v>
      </c>
      <c r="D76" s="46">
        <v>207726</v>
      </c>
      <c r="E76" s="46">
        <v>265751</v>
      </c>
      <c r="F76">
        <v>-20.170000000000002</v>
      </c>
      <c r="G76">
        <v>-37.6</v>
      </c>
      <c r="H76" s="46">
        <v>1652493</v>
      </c>
      <c r="I76" s="46">
        <v>2563314</v>
      </c>
      <c r="J76">
        <v>-35.53</v>
      </c>
      <c r="K76">
        <v>0</v>
      </c>
    </row>
    <row r="77" spans="1:11" customFormat="1" hidden="1">
      <c r="A77">
        <v>8087</v>
      </c>
      <c r="B77" t="s">
        <v>513</v>
      </c>
      <c r="C77" s="46">
        <v>10666</v>
      </c>
      <c r="D77" s="46">
        <v>11468</v>
      </c>
      <c r="E77" s="46">
        <v>10062</v>
      </c>
      <c r="F77">
        <v>-6.99</v>
      </c>
      <c r="G77">
        <v>6</v>
      </c>
      <c r="H77" s="46">
        <v>121299</v>
      </c>
      <c r="I77" s="46">
        <v>125517</v>
      </c>
      <c r="J77">
        <v>-3.36</v>
      </c>
      <c r="K77">
        <v>0</v>
      </c>
    </row>
    <row r="78" spans="1:11" customFormat="1" hidden="1">
      <c r="A78">
        <v>8086</v>
      </c>
      <c r="B78" t="s">
        <v>2028</v>
      </c>
      <c r="C78" s="46">
        <v>352037</v>
      </c>
      <c r="D78" s="46">
        <v>405819</v>
      </c>
      <c r="E78" s="46">
        <v>332197</v>
      </c>
      <c r="F78">
        <v>-13.25</v>
      </c>
      <c r="G78">
        <v>5.97</v>
      </c>
      <c r="H78" s="46">
        <v>3663848</v>
      </c>
      <c r="I78" s="46">
        <v>1966717</v>
      </c>
      <c r="J78">
        <v>86.29</v>
      </c>
      <c r="K78">
        <v>0</v>
      </c>
    </row>
    <row r="79" spans="1:11" customFormat="1" hidden="1">
      <c r="A79">
        <v>8085</v>
      </c>
      <c r="B79" t="s">
        <v>512</v>
      </c>
      <c r="C79" s="46">
        <v>143125</v>
      </c>
      <c r="D79" s="46">
        <v>184793</v>
      </c>
      <c r="E79" s="46">
        <v>163161</v>
      </c>
      <c r="F79">
        <v>-22.54</v>
      </c>
      <c r="G79">
        <v>-12.27</v>
      </c>
      <c r="H79" s="46">
        <v>1530537</v>
      </c>
      <c r="I79" s="46">
        <v>1856842</v>
      </c>
      <c r="J79">
        <v>-17.57</v>
      </c>
      <c r="K79" s="286">
        <v>0</v>
      </c>
    </row>
    <row r="80" spans="1:11" customFormat="1" hidden="1">
      <c r="A80">
        <v>8084</v>
      </c>
      <c r="B80" t="s">
        <v>2099</v>
      </c>
      <c r="C80" s="46">
        <v>219464</v>
      </c>
      <c r="D80" s="46">
        <v>187141</v>
      </c>
      <c r="E80" s="46">
        <v>155949</v>
      </c>
      <c r="F80">
        <v>17.27</v>
      </c>
      <c r="G80">
        <v>40.72</v>
      </c>
      <c r="H80" s="46">
        <v>1748703</v>
      </c>
      <c r="I80" s="46">
        <v>1894152</v>
      </c>
      <c r="J80">
        <v>-7.67</v>
      </c>
      <c r="K80" s="286">
        <v>1</v>
      </c>
    </row>
    <row r="81" spans="1:11" customFormat="1" hidden="1">
      <c r="A81">
        <v>8083</v>
      </c>
      <c r="B81" t="s">
        <v>511</v>
      </c>
      <c r="C81" s="46">
        <v>88918</v>
      </c>
      <c r="D81" s="46">
        <v>102986</v>
      </c>
      <c r="E81" s="46">
        <v>101433</v>
      </c>
      <c r="F81">
        <v>-13.66</v>
      </c>
      <c r="G81">
        <v>-12.33</v>
      </c>
      <c r="H81" s="46">
        <v>1080858</v>
      </c>
      <c r="I81" s="46">
        <v>1073122</v>
      </c>
      <c r="J81">
        <v>0.72</v>
      </c>
      <c r="K81">
        <v>0</v>
      </c>
    </row>
    <row r="82" spans="1:11" customFormat="1" hidden="1">
      <c r="A82">
        <v>8082</v>
      </c>
      <c r="B82" t="s">
        <v>510</v>
      </c>
      <c r="C82">
        <v>0</v>
      </c>
      <c r="D82">
        <v>0</v>
      </c>
      <c r="E82">
        <v>238</v>
      </c>
      <c r="G82">
        <v>-100</v>
      </c>
      <c r="H82" s="46">
        <v>3738</v>
      </c>
      <c r="I82" s="46">
        <v>17154</v>
      </c>
      <c r="J82">
        <v>-78.2</v>
      </c>
      <c r="K82">
        <v>0</v>
      </c>
    </row>
    <row r="83" spans="1:11" customFormat="1" hidden="1">
      <c r="A83">
        <v>8080</v>
      </c>
      <c r="B83" t="s">
        <v>509</v>
      </c>
      <c r="C83" s="46">
        <v>29326</v>
      </c>
      <c r="D83" s="46">
        <v>44786</v>
      </c>
      <c r="E83" s="46">
        <v>57652</v>
      </c>
      <c r="F83">
        <v>-34.51</v>
      </c>
      <c r="G83">
        <v>-49.13</v>
      </c>
      <c r="H83" s="46">
        <v>389305</v>
      </c>
      <c r="I83" s="46">
        <v>621401</v>
      </c>
      <c r="J83">
        <v>-37.35</v>
      </c>
      <c r="K83">
        <v>0</v>
      </c>
    </row>
    <row r="84" spans="1:11" customFormat="1" hidden="1">
      <c r="A84">
        <v>8079</v>
      </c>
      <c r="B84" t="s">
        <v>2185</v>
      </c>
      <c r="C84" s="46">
        <v>41790</v>
      </c>
      <c r="D84" s="46">
        <v>42660</v>
      </c>
      <c r="E84" s="46">
        <v>48070</v>
      </c>
      <c r="F84">
        <v>-2.0299999999999998</v>
      </c>
      <c r="G84">
        <v>-13.06</v>
      </c>
      <c r="H84" s="46">
        <v>412788</v>
      </c>
      <c r="I84" s="46">
        <v>457188</v>
      </c>
      <c r="J84">
        <v>-9.7100000000000009</v>
      </c>
      <c r="K84">
        <v>0</v>
      </c>
    </row>
    <row r="85" spans="1:11" customFormat="1" hidden="1">
      <c r="A85">
        <v>8076</v>
      </c>
      <c r="B85" t="s">
        <v>2202</v>
      </c>
      <c r="C85" s="46">
        <v>253798</v>
      </c>
      <c r="D85" s="46">
        <v>289366</v>
      </c>
      <c r="E85" s="46">
        <v>277782</v>
      </c>
      <c r="F85">
        <v>-12.29</v>
      </c>
      <c r="G85">
        <v>-8.6300000000000008</v>
      </c>
      <c r="H85" s="46">
        <v>2262258</v>
      </c>
      <c r="I85" s="46">
        <v>2253588</v>
      </c>
      <c r="J85">
        <v>0.38</v>
      </c>
      <c r="K85">
        <v>1</v>
      </c>
    </row>
    <row r="86" spans="1:11" customFormat="1" hidden="1">
      <c r="A86">
        <v>8074</v>
      </c>
      <c r="B86" t="s">
        <v>2091</v>
      </c>
      <c r="C86" s="46">
        <v>97402</v>
      </c>
      <c r="D86" s="46">
        <v>103120</v>
      </c>
      <c r="E86" s="46">
        <v>110378</v>
      </c>
      <c r="F86">
        <v>-5.54</v>
      </c>
      <c r="G86">
        <v>-11.75</v>
      </c>
      <c r="H86" s="46">
        <v>981450</v>
      </c>
      <c r="I86" s="46">
        <v>1005863</v>
      </c>
      <c r="J86">
        <v>-2.42</v>
      </c>
      <c r="K86">
        <v>0</v>
      </c>
    </row>
    <row r="87" spans="1:11" customFormat="1" hidden="1">
      <c r="A87">
        <v>8071</v>
      </c>
      <c r="B87" t="s">
        <v>508</v>
      </c>
      <c r="C87" s="46">
        <v>185186</v>
      </c>
      <c r="D87" s="46">
        <v>220427</v>
      </c>
      <c r="E87" s="46">
        <v>154264</v>
      </c>
      <c r="F87">
        <v>-15.98</v>
      </c>
      <c r="G87">
        <v>20.04</v>
      </c>
      <c r="H87" s="46">
        <v>1892457</v>
      </c>
      <c r="I87" s="46">
        <v>1682758</v>
      </c>
      <c r="J87">
        <v>12.46</v>
      </c>
      <c r="K87">
        <v>0</v>
      </c>
    </row>
    <row r="88" spans="1:11" customFormat="1" hidden="1">
      <c r="A88">
        <v>8069</v>
      </c>
      <c r="B88" t="s">
        <v>2215</v>
      </c>
      <c r="C88" s="46">
        <v>1112588</v>
      </c>
      <c r="D88" s="46">
        <v>1431303</v>
      </c>
      <c r="E88" s="46">
        <v>1315520</v>
      </c>
      <c r="F88">
        <v>-22.26</v>
      </c>
      <c r="G88">
        <v>-15.42</v>
      </c>
      <c r="H88" s="46">
        <v>11882456</v>
      </c>
      <c r="I88" s="46">
        <v>12169970</v>
      </c>
      <c r="J88">
        <v>-2.36</v>
      </c>
      <c r="K88">
        <v>0</v>
      </c>
    </row>
    <row r="89" spans="1:11" customFormat="1" hidden="1">
      <c r="A89">
        <v>8068</v>
      </c>
      <c r="B89" t="s">
        <v>507</v>
      </c>
      <c r="C89" s="46">
        <v>115179</v>
      </c>
      <c r="D89" s="46">
        <v>127458</v>
      </c>
      <c r="E89" s="46">
        <v>105190</v>
      </c>
      <c r="F89">
        <v>-9.6300000000000008</v>
      </c>
      <c r="G89">
        <v>9.49</v>
      </c>
      <c r="H89" s="46">
        <v>1283086</v>
      </c>
      <c r="I89" s="46">
        <v>1368898</v>
      </c>
      <c r="J89">
        <v>-6.26</v>
      </c>
      <c r="K89">
        <v>0</v>
      </c>
    </row>
    <row r="90" spans="1:11" customFormat="1" hidden="1">
      <c r="A90">
        <v>8067</v>
      </c>
      <c r="B90" t="s">
        <v>2098</v>
      </c>
      <c r="C90" s="46">
        <v>43904</v>
      </c>
      <c r="D90" s="46">
        <v>50679</v>
      </c>
      <c r="E90" s="46">
        <v>52735</v>
      </c>
      <c r="F90">
        <v>-13.36</v>
      </c>
      <c r="G90">
        <v>-16.739999999999998</v>
      </c>
      <c r="H90" s="46">
        <v>418042</v>
      </c>
      <c r="I90" s="46">
        <v>588931</v>
      </c>
      <c r="J90">
        <v>-29.01</v>
      </c>
      <c r="K90">
        <v>1</v>
      </c>
    </row>
    <row r="91" spans="1:11" customFormat="1" hidden="1">
      <c r="A91">
        <v>8064</v>
      </c>
      <c r="B91" t="s">
        <v>506</v>
      </c>
      <c r="C91" s="46">
        <v>238524</v>
      </c>
      <c r="D91" s="46">
        <v>303643</v>
      </c>
      <c r="E91" s="46">
        <v>320439</v>
      </c>
      <c r="F91">
        <v>-21.44</v>
      </c>
      <c r="G91">
        <v>-25.56</v>
      </c>
      <c r="H91" s="46">
        <v>2451689</v>
      </c>
      <c r="I91" s="46">
        <v>3143212</v>
      </c>
      <c r="J91">
        <v>-22</v>
      </c>
      <c r="K91">
        <v>0</v>
      </c>
    </row>
    <row r="92" spans="1:11" customFormat="1" hidden="1">
      <c r="A92">
        <v>8059</v>
      </c>
      <c r="B92" t="s">
        <v>2056</v>
      </c>
      <c r="C92" s="46">
        <v>42047</v>
      </c>
      <c r="D92" s="46">
        <v>44796</v>
      </c>
      <c r="E92" s="46">
        <v>166718</v>
      </c>
      <c r="F92">
        <v>-6.13</v>
      </c>
      <c r="G92">
        <v>-74.77</v>
      </c>
      <c r="H92" s="46">
        <v>1539133</v>
      </c>
      <c r="I92" s="46">
        <v>1848204</v>
      </c>
      <c r="J92">
        <v>-16.72</v>
      </c>
      <c r="K92">
        <v>0</v>
      </c>
    </row>
    <row r="93" spans="1:11" customFormat="1" hidden="1">
      <c r="A93">
        <v>8054</v>
      </c>
      <c r="B93" t="s">
        <v>505</v>
      </c>
      <c r="C93" s="46">
        <v>190170</v>
      </c>
      <c r="D93" s="46">
        <v>186988</v>
      </c>
      <c r="E93" s="46">
        <v>248886</v>
      </c>
      <c r="F93">
        <v>1.7</v>
      </c>
      <c r="G93">
        <v>-23.59</v>
      </c>
      <c r="H93" s="46">
        <v>1894147</v>
      </c>
      <c r="I93" s="46">
        <v>2254224</v>
      </c>
      <c r="J93">
        <v>-15.97</v>
      </c>
      <c r="K93">
        <v>0</v>
      </c>
    </row>
    <row r="94" spans="1:11" customFormat="1" hidden="1">
      <c r="A94">
        <v>8053</v>
      </c>
      <c r="B94" t="s">
        <v>2045</v>
      </c>
      <c r="C94" s="46">
        <v>278193</v>
      </c>
      <c r="D94" s="46">
        <v>300645</v>
      </c>
      <c r="E94" s="46">
        <v>420657</v>
      </c>
      <c r="F94">
        <v>-7.46</v>
      </c>
      <c r="G94">
        <v>-33.86</v>
      </c>
      <c r="H94" s="46">
        <v>3050803</v>
      </c>
      <c r="I94" s="46">
        <v>3708630</v>
      </c>
      <c r="J94">
        <v>-17.73</v>
      </c>
      <c r="K94">
        <v>0</v>
      </c>
    </row>
    <row r="95" spans="1:11" customFormat="1" hidden="1">
      <c r="A95">
        <v>8050</v>
      </c>
      <c r="B95" t="s">
        <v>2201</v>
      </c>
      <c r="C95" s="46">
        <v>312048</v>
      </c>
      <c r="D95" s="46">
        <v>317029</v>
      </c>
      <c r="E95" s="46">
        <v>303625</v>
      </c>
      <c r="F95">
        <v>-1.57</v>
      </c>
      <c r="G95">
        <v>2.77</v>
      </c>
      <c r="H95" s="46">
        <v>3552075</v>
      </c>
      <c r="I95" s="46">
        <v>3093242</v>
      </c>
      <c r="J95">
        <v>14.83</v>
      </c>
      <c r="K95">
        <v>0</v>
      </c>
    </row>
    <row r="96" spans="1:11" customFormat="1" hidden="1">
      <c r="A96">
        <v>8049</v>
      </c>
      <c r="B96" t="s">
        <v>2214</v>
      </c>
      <c r="C96" s="46">
        <v>117682</v>
      </c>
      <c r="D96" s="46">
        <v>147412</v>
      </c>
      <c r="E96" s="46">
        <v>111172</v>
      </c>
      <c r="F96">
        <v>-20.16</v>
      </c>
      <c r="G96">
        <v>5.85</v>
      </c>
      <c r="H96" s="46">
        <v>1247170</v>
      </c>
      <c r="I96" s="46">
        <v>1130500</v>
      </c>
      <c r="J96">
        <v>10.32</v>
      </c>
      <c r="K96">
        <v>0</v>
      </c>
    </row>
    <row r="97" spans="1:11" customFormat="1" hidden="1">
      <c r="A97">
        <v>8048</v>
      </c>
      <c r="B97" t="s">
        <v>2225</v>
      </c>
      <c r="C97" s="46">
        <v>105967</v>
      </c>
      <c r="D97" s="46">
        <v>135689</v>
      </c>
      <c r="E97" s="46">
        <v>96542</v>
      </c>
      <c r="F97">
        <v>-21.9</v>
      </c>
      <c r="G97">
        <v>9.76</v>
      </c>
      <c r="H97" s="46">
        <v>1353129</v>
      </c>
      <c r="I97" s="46">
        <v>861906</v>
      </c>
      <c r="J97">
        <v>56.99</v>
      </c>
      <c r="K97">
        <v>0</v>
      </c>
    </row>
    <row r="98" spans="1:11" customFormat="1" hidden="1">
      <c r="A98">
        <v>8047</v>
      </c>
      <c r="B98" t="s">
        <v>2149</v>
      </c>
      <c r="C98" s="46">
        <v>63929</v>
      </c>
      <c r="D98" s="46">
        <v>77831</v>
      </c>
      <c r="E98" s="46">
        <v>78629</v>
      </c>
      <c r="F98">
        <v>-17.86</v>
      </c>
      <c r="G98">
        <v>-18.690000000000001</v>
      </c>
      <c r="H98" s="46">
        <v>671506</v>
      </c>
      <c r="I98" s="46">
        <v>690578</v>
      </c>
      <c r="J98">
        <v>-2.76</v>
      </c>
      <c r="K98" s="286">
        <v>0</v>
      </c>
    </row>
    <row r="99" spans="1:11" customFormat="1" hidden="1">
      <c r="A99">
        <v>8044</v>
      </c>
      <c r="B99" t="s">
        <v>2263</v>
      </c>
      <c r="C99" s="46">
        <v>1848570</v>
      </c>
      <c r="D99" s="46">
        <v>1831064</v>
      </c>
      <c r="E99" s="46">
        <v>1663056</v>
      </c>
      <c r="F99">
        <v>0.95</v>
      </c>
      <c r="G99">
        <v>11.15</v>
      </c>
      <c r="H99" s="46">
        <v>18764935</v>
      </c>
      <c r="I99" s="46">
        <v>16265113</v>
      </c>
      <c r="J99">
        <v>15.36</v>
      </c>
      <c r="K99" s="286">
        <v>0</v>
      </c>
    </row>
    <row r="100" spans="1:11" customFormat="1" hidden="1">
      <c r="A100">
        <v>8043</v>
      </c>
      <c r="B100" t="s">
        <v>2090</v>
      </c>
      <c r="C100" s="46">
        <v>553616</v>
      </c>
      <c r="D100" s="46">
        <v>700086</v>
      </c>
      <c r="E100" s="46">
        <v>516631</v>
      </c>
      <c r="F100">
        <v>-20.92</v>
      </c>
      <c r="G100">
        <v>7.15</v>
      </c>
      <c r="H100" s="46">
        <v>4230884</v>
      </c>
      <c r="I100" s="46">
        <v>3669089</v>
      </c>
      <c r="J100">
        <v>15.31</v>
      </c>
      <c r="K100">
        <v>1</v>
      </c>
    </row>
    <row r="101" spans="1:11" customFormat="1" hidden="1">
      <c r="A101">
        <v>8042</v>
      </c>
      <c r="B101" t="s">
        <v>1785</v>
      </c>
      <c r="C101" s="46">
        <v>280050</v>
      </c>
      <c r="D101" s="46">
        <v>301949</v>
      </c>
      <c r="E101" s="46">
        <v>240212</v>
      </c>
      <c r="F101">
        <v>-7.25</v>
      </c>
      <c r="G101">
        <v>16.579999999999998</v>
      </c>
      <c r="H101" s="46">
        <v>2591616</v>
      </c>
      <c r="I101" s="46">
        <v>2669929</v>
      </c>
      <c r="J101">
        <v>-2.93</v>
      </c>
      <c r="K101">
        <v>1</v>
      </c>
    </row>
    <row r="102" spans="1:11" customFormat="1" hidden="1">
      <c r="A102">
        <v>8040</v>
      </c>
      <c r="B102" t="s">
        <v>2027</v>
      </c>
      <c r="C102" s="46">
        <v>71556</v>
      </c>
      <c r="D102" s="46">
        <v>58561</v>
      </c>
      <c r="E102" s="46">
        <v>58445</v>
      </c>
      <c r="F102">
        <v>22.19</v>
      </c>
      <c r="G102">
        <v>22.43</v>
      </c>
      <c r="H102" s="46">
        <v>583670</v>
      </c>
      <c r="I102" s="46">
        <v>549697</v>
      </c>
      <c r="J102">
        <v>6.18</v>
      </c>
      <c r="K102">
        <v>1</v>
      </c>
    </row>
    <row r="103" spans="1:11" customFormat="1" hidden="1">
      <c r="A103">
        <v>8038</v>
      </c>
      <c r="B103" t="s">
        <v>504</v>
      </c>
      <c r="C103" s="46">
        <v>4675</v>
      </c>
      <c r="D103" s="46">
        <v>2762</v>
      </c>
      <c r="E103" s="46">
        <v>11285</v>
      </c>
      <c r="F103">
        <v>69.260000000000005</v>
      </c>
      <c r="G103">
        <v>-58.57</v>
      </c>
      <c r="H103" s="46">
        <v>49039</v>
      </c>
      <c r="I103" s="46">
        <v>81778</v>
      </c>
      <c r="J103">
        <v>-40.03</v>
      </c>
      <c r="K103">
        <v>0</v>
      </c>
    </row>
    <row r="104" spans="1:11" customFormat="1" hidden="1">
      <c r="A104">
        <v>8034</v>
      </c>
      <c r="B104" t="s">
        <v>2224</v>
      </c>
      <c r="C104" s="46">
        <v>11558</v>
      </c>
      <c r="D104" s="46">
        <v>16113</v>
      </c>
      <c r="E104" s="46">
        <v>24980</v>
      </c>
      <c r="F104">
        <v>-28.26</v>
      </c>
      <c r="G104">
        <v>-53.73</v>
      </c>
      <c r="H104" s="46">
        <v>163007</v>
      </c>
      <c r="I104" s="46">
        <v>173853</v>
      </c>
      <c r="J104">
        <v>-6.23</v>
      </c>
      <c r="K104">
        <v>0</v>
      </c>
    </row>
    <row r="105" spans="1:11" customFormat="1" hidden="1">
      <c r="A105">
        <v>8032</v>
      </c>
      <c r="B105" t="s">
        <v>2097</v>
      </c>
      <c r="C105" s="46">
        <v>409649</v>
      </c>
      <c r="D105" s="46">
        <v>442444</v>
      </c>
      <c r="E105" s="46">
        <v>351330</v>
      </c>
      <c r="F105">
        <v>-7.41</v>
      </c>
      <c r="G105">
        <v>16.59</v>
      </c>
      <c r="H105" s="46">
        <v>3541311</v>
      </c>
      <c r="I105" s="46">
        <v>3669666</v>
      </c>
      <c r="J105">
        <v>-3.49</v>
      </c>
      <c r="K105" s="286">
        <v>1</v>
      </c>
    </row>
    <row r="106" spans="1:11" customFormat="1" hidden="1">
      <c r="A106">
        <v>8027</v>
      </c>
      <c r="B106" t="s">
        <v>1979</v>
      </c>
      <c r="C106" s="46">
        <v>74535</v>
      </c>
      <c r="D106" s="46">
        <v>121601</v>
      </c>
      <c r="E106" s="46">
        <v>176996</v>
      </c>
      <c r="F106">
        <v>-38.700000000000003</v>
      </c>
      <c r="G106">
        <v>-57.88</v>
      </c>
      <c r="H106" s="46">
        <v>1278491</v>
      </c>
      <c r="I106" s="46">
        <v>1619412</v>
      </c>
      <c r="J106">
        <v>-21.05</v>
      </c>
      <c r="K106">
        <v>0</v>
      </c>
    </row>
    <row r="107" spans="1:11" customFormat="1" hidden="1">
      <c r="A107">
        <v>8024</v>
      </c>
      <c r="B107" t="s">
        <v>503</v>
      </c>
      <c r="C107" s="46">
        <v>49202</v>
      </c>
      <c r="D107" s="46">
        <v>42203</v>
      </c>
      <c r="E107" s="46">
        <v>67917</v>
      </c>
      <c r="F107">
        <v>16.579999999999998</v>
      </c>
      <c r="G107">
        <v>-27.55</v>
      </c>
      <c r="H107" s="46">
        <v>508609</v>
      </c>
      <c r="I107" s="46">
        <v>587633</v>
      </c>
      <c r="J107">
        <v>-13.44</v>
      </c>
      <c r="K107">
        <v>0</v>
      </c>
    </row>
    <row r="108" spans="1:11" customFormat="1" hidden="1">
      <c r="A108">
        <v>6803</v>
      </c>
      <c r="B108" t="s">
        <v>2285</v>
      </c>
      <c r="C108" s="46">
        <v>341432</v>
      </c>
      <c r="D108" s="46">
        <v>344315</v>
      </c>
      <c r="E108" s="46">
        <v>325969</v>
      </c>
      <c r="F108">
        <v>-0.83</v>
      </c>
      <c r="G108">
        <v>4.74</v>
      </c>
      <c r="H108" s="46">
        <v>3400323</v>
      </c>
      <c r="I108" s="46">
        <v>3271498</v>
      </c>
      <c r="J108">
        <v>3.93</v>
      </c>
      <c r="K108" s="286">
        <v>0</v>
      </c>
    </row>
    <row r="109" spans="1:11" customFormat="1" hidden="1">
      <c r="A109">
        <v>6609</v>
      </c>
      <c r="B109" t="s">
        <v>502</v>
      </c>
      <c r="C109" s="46">
        <v>245765</v>
      </c>
      <c r="D109" s="46">
        <v>181569</v>
      </c>
      <c r="E109" s="46">
        <v>240492</v>
      </c>
      <c r="F109">
        <v>35.35</v>
      </c>
      <c r="G109">
        <v>2.19</v>
      </c>
      <c r="H109" s="46">
        <v>2310356</v>
      </c>
      <c r="I109" s="46">
        <v>2697334</v>
      </c>
      <c r="J109">
        <v>-14.34</v>
      </c>
      <c r="K109">
        <v>1</v>
      </c>
    </row>
    <row r="110" spans="1:11" customFormat="1" hidden="1">
      <c r="A110">
        <v>6603</v>
      </c>
      <c r="B110" t="s">
        <v>501</v>
      </c>
      <c r="C110" s="46">
        <v>245700</v>
      </c>
      <c r="D110" s="46">
        <v>228346</v>
      </c>
      <c r="E110" s="46">
        <v>384000</v>
      </c>
      <c r="F110">
        <v>7.59</v>
      </c>
      <c r="G110">
        <v>-36.01</v>
      </c>
      <c r="H110" s="46">
        <v>2352223</v>
      </c>
      <c r="I110" s="46">
        <v>2458509</v>
      </c>
      <c r="J110">
        <v>-4.32</v>
      </c>
      <c r="K110">
        <v>0</v>
      </c>
    </row>
    <row r="111" spans="1:11" customFormat="1" hidden="1">
      <c r="A111">
        <v>6509</v>
      </c>
      <c r="B111" t="s">
        <v>500</v>
      </c>
      <c r="C111" s="46">
        <v>279294</v>
      </c>
      <c r="D111" s="46">
        <v>239216</v>
      </c>
      <c r="E111" s="46">
        <v>291274</v>
      </c>
      <c r="F111">
        <v>16.75</v>
      </c>
      <c r="G111">
        <v>-4.1100000000000003</v>
      </c>
      <c r="H111" s="46">
        <v>2597980</v>
      </c>
      <c r="I111" s="46">
        <v>2800045</v>
      </c>
      <c r="J111">
        <v>-7.21</v>
      </c>
      <c r="K111">
        <v>1</v>
      </c>
    </row>
    <row r="112" spans="1:11" customFormat="1" hidden="1">
      <c r="A112">
        <v>6508</v>
      </c>
      <c r="B112" t="s">
        <v>499</v>
      </c>
      <c r="C112" s="46">
        <v>180920</v>
      </c>
      <c r="D112" s="46">
        <v>150158</v>
      </c>
      <c r="E112" s="46">
        <v>213489</v>
      </c>
      <c r="F112">
        <v>20.48</v>
      </c>
      <c r="G112">
        <v>-15.25</v>
      </c>
      <c r="H112" s="46">
        <v>2072344</v>
      </c>
      <c r="I112" s="46">
        <v>2335287</v>
      </c>
      <c r="J112">
        <v>-11.25</v>
      </c>
      <c r="K112">
        <v>0</v>
      </c>
    </row>
    <row r="113" spans="1:11" customFormat="1" hidden="1">
      <c r="A113">
        <v>6506</v>
      </c>
      <c r="B113" t="s">
        <v>2168</v>
      </c>
      <c r="C113" s="46">
        <v>135365</v>
      </c>
      <c r="D113" s="46">
        <v>140106</v>
      </c>
      <c r="E113" s="46">
        <v>134259</v>
      </c>
      <c r="F113">
        <v>-3.38</v>
      </c>
      <c r="G113">
        <v>0.82</v>
      </c>
      <c r="H113" s="46">
        <v>1669625</v>
      </c>
      <c r="I113" s="46">
        <v>1683065</v>
      </c>
      <c r="J113">
        <v>-0.79</v>
      </c>
      <c r="K113">
        <v>0</v>
      </c>
    </row>
    <row r="114" spans="1:11" customFormat="1" hidden="1">
      <c r="A114">
        <v>6488</v>
      </c>
      <c r="B114" t="s">
        <v>2026</v>
      </c>
      <c r="C114" s="46">
        <v>1174036</v>
      </c>
      <c r="D114" s="46">
        <v>1277603</v>
      </c>
      <c r="E114" s="46">
        <v>1303010</v>
      </c>
      <c r="F114">
        <v>-8.1</v>
      </c>
      <c r="G114">
        <v>-9.89</v>
      </c>
      <c r="H114" s="46">
        <v>12965745</v>
      </c>
      <c r="I114" s="46">
        <v>13277179</v>
      </c>
      <c r="J114">
        <v>-2.34</v>
      </c>
      <c r="K114" s="286">
        <v>0</v>
      </c>
    </row>
    <row r="115" spans="1:11" customFormat="1" hidden="1">
      <c r="A115">
        <v>6470</v>
      </c>
      <c r="B115" t="s">
        <v>1941</v>
      </c>
      <c r="C115" s="46">
        <v>157138</v>
      </c>
      <c r="D115" s="46">
        <v>162257</v>
      </c>
      <c r="E115" s="46">
        <v>201062</v>
      </c>
      <c r="F115">
        <v>-3.15</v>
      </c>
      <c r="G115">
        <v>-21.84</v>
      </c>
      <c r="H115" s="46">
        <v>1590532</v>
      </c>
      <c r="I115" s="46">
        <v>1211639</v>
      </c>
      <c r="J115">
        <v>31.27</v>
      </c>
      <c r="K115">
        <v>0</v>
      </c>
    </row>
    <row r="116" spans="1:11" customFormat="1" hidden="1">
      <c r="A116">
        <v>6457</v>
      </c>
      <c r="B116" t="s">
        <v>2025</v>
      </c>
      <c r="C116" s="46">
        <v>49724</v>
      </c>
      <c r="D116" s="46">
        <v>46336</v>
      </c>
      <c r="E116" s="46">
        <v>41008</v>
      </c>
      <c r="F116">
        <v>7.31</v>
      </c>
      <c r="G116">
        <v>21.25</v>
      </c>
      <c r="H116" s="46">
        <v>451839</v>
      </c>
      <c r="I116" s="46">
        <v>383861</v>
      </c>
      <c r="J116">
        <v>17.7</v>
      </c>
      <c r="K116" s="286">
        <v>1</v>
      </c>
    </row>
    <row r="117" spans="1:11" customFormat="1" hidden="1">
      <c r="A117">
        <v>6432</v>
      </c>
      <c r="B117" t="s">
        <v>2089</v>
      </c>
      <c r="C117" s="46">
        <v>77573</v>
      </c>
      <c r="D117" s="46">
        <v>93478</v>
      </c>
      <c r="E117" s="46">
        <v>79540</v>
      </c>
      <c r="F117">
        <v>-17.010000000000002</v>
      </c>
      <c r="G117">
        <v>-2.4700000000000002</v>
      </c>
      <c r="H117" s="46">
        <v>808223</v>
      </c>
      <c r="I117" s="46">
        <v>733849</v>
      </c>
      <c r="J117">
        <v>10.130000000000001</v>
      </c>
      <c r="K117">
        <v>0</v>
      </c>
    </row>
    <row r="118" spans="1:11" customFormat="1" hidden="1">
      <c r="A118">
        <v>6426</v>
      </c>
      <c r="B118" t="s">
        <v>498</v>
      </c>
      <c r="C118" s="46">
        <v>40028</v>
      </c>
      <c r="D118" s="46">
        <v>35945</v>
      </c>
      <c r="E118" s="46">
        <v>36065</v>
      </c>
      <c r="F118">
        <v>11.35</v>
      </c>
      <c r="G118">
        <v>10.98</v>
      </c>
      <c r="H118" s="46">
        <v>430724</v>
      </c>
      <c r="I118" s="46">
        <v>419801</v>
      </c>
      <c r="J118">
        <v>2.6</v>
      </c>
      <c r="K118">
        <v>0</v>
      </c>
    </row>
    <row r="119" spans="1:11" customFormat="1" hidden="1">
      <c r="A119">
        <v>6419</v>
      </c>
      <c r="B119" t="s">
        <v>1775</v>
      </c>
      <c r="C119" s="46">
        <v>43758</v>
      </c>
      <c r="D119" s="46">
        <v>35410</v>
      </c>
      <c r="E119" s="46">
        <v>48027</v>
      </c>
      <c r="F119">
        <v>23.57</v>
      </c>
      <c r="G119">
        <v>-8.8800000000000008</v>
      </c>
      <c r="H119" s="46">
        <v>352617</v>
      </c>
      <c r="I119" s="46">
        <v>427357</v>
      </c>
      <c r="J119">
        <v>-17.48</v>
      </c>
      <c r="K119">
        <v>1</v>
      </c>
    </row>
    <row r="120" spans="1:11" customFormat="1" hidden="1">
      <c r="A120">
        <v>6417</v>
      </c>
      <c r="B120" t="s">
        <v>543</v>
      </c>
      <c r="C120" s="46">
        <v>75635</v>
      </c>
      <c r="D120" s="46">
        <v>74316</v>
      </c>
      <c r="E120" s="46">
        <v>60792</v>
      </c>
      <c r="F120">
        <v>1.77</v>
      </c>
      <c r="G120">
        <v>24.41</v>
      </c>
      <c r="H120" s="46">
        <v>814059</v>
      </c>
      <c r="I120" s="46">
        <v>592433</v>
      </c>
      <c r="J120">
        <v>37.4</v>
      </c>
      <c r="K120">
        <v>0</v>
      </c>
    </row>
    <row r="121" spans="1:11" customFormat="1" hidden="1">
      <c r="A121">
        <v>6411</v>
      </c>
      <c r="B121" t="s">
        <v>497</v>
      </c>
      <c r="C121" s="46">
        <v>185125</v>
      </c>
      <c r="D121" s="46">
        <v>181665</v>
      </c>
      <c r="E121" s="46">
        <v>157916</v>
      </c>
      <c r="F121">
        <v>1.9</v>
      </c>
      <c r="G121">
        <v>17.23</v>
      </c>
      <c r="H121" s="46">
        <v>1628012</v>
      </c>
      <c r="I121" s="46">
        <v>1359636</v>
      </c>
      <c r="J121">
        <v>19.73</v>
      </c>
      <c r="K121" s="286">
        <v>1</v>
      </c>
    </row>
    <row r="122" spans="1:11" customFormat="1" hidden="1">
      <c r="A122">
        <v>6298</v>
      </c>
      <c r="B122" t="s">
        <v>2200</v>
      </c>
      <c r="C122" s="46">
        <v>513108</v>
      </c>
      <c r="D122" s="46">
        <v>467500</v>
      </c>
      <c r="E122" s="46">
        <v>478018</v>
      </c>
      <c r="F122">
        <v>9.75</v>
      </c>
      <c r="G122">
        <v>7.34</v>
      </c>
      <c r="H122" s="46">
        <v>4506143</v>
      </c>
      <c r="I122" s="46">
        <v>4484902</v>
      </c>
      <c r="J122">
        <v>0.47</v>
      </c>
      <c r="K122" s="286">
        <v>1</v>
      </c>
    </row>
    <row r="123" spans="1:11" customFormat="1" hidden="1">
      <c r="A123">
        <v>6294</v>
      </c>
      <c r="B123" t="s">
        <v>2284</v>
      </c>
      <c r="C123" s="46">
        <v>53102</v>
      </c>
      <c r="D123" s="46">
        <v>47960</v>
      </c>
      <c r="E123" s="46">
        <v>37534</v>
      </c>
      <c r="F123">
        <v>10.72</v>
      </c>
      <c r="G123">
        <v>41.47</v>
      </c>
      <c r="H123" s="46">
        <v>569075</v>
      </c>
      <c r="I123" s="46">
        <v>320276</v>
      </c>
      <c r="J123">
        <v>77.680000000000007</v>
      </c>
      <c r="K123">
        <v>0</v>
      </c>
    </row>
    <row r="124" spans="1:11" customFormat="1" hidden="1">
      <c r="A124">
        <v>6292</v>
      </c>
      <c r="B124" t="s">
        <v>2147</v>
      </c>
      <c r="C124" s="46">
        <v>120032</v>
      </c>
      <c r="D124" s="46">
        <v>129167</v>
      </c>
      <c r="E124" s="46">
        <v>104865</v>
      </c>
      <c r="F124">
        <v>-7.07</v>
      </c>
      <c r="G124">
        <v>14.46</v>
      </c>
      <c r="H124" s="46">
        <v>1169727</v>
      </c>
      <c r="I124" s="46">
        <v>1176517</v>
      </c>
      <c r="J124">
        <v>-0.56999999999999995</v>
      </c>
      <c r="K124">
        <v>0</v>
      </c>
    </row>
    <row r="125" spans="1:11" customFormat="1" hidden="1">
      <c r="A125">
        <v>6291</v>
      </c>
      <c r="B125" t="s">
        <v>496</v>
      </c>
      <c r="C125" s="46">
        <v>19363</v>
      </c>
      <c r="D125" s="46">
        <v>18120</v>
      </c>
      <c r="E125" s="46">
        <v>24272</v>
      </c>
      <c r="F125">
        <v>6.85</v>
      </c>
      <c r="G125">
        <v>-20.22</v>
      </c>
      <c r="H125" s="46">
        <v>206686</v>
      </c>
      <c r="I125" s="46">
        <v>253778</v>
      </c>
      <c r="J125">
        <v>-18.55</v>
      </c>
      <c r="K125">
        <v>0</v>
      </c>
    </row>
    <row r="126" spans="1:11" customFormat="1" hidden="1">
      <c r="A126">
        <v>6290</v>
      </c>
      <c r="B126" t="s">
        <v>2088</v>
      </c>
      <c r="C126" s="46">
        <v>754962</v>
      </c>
      <c r="D126" s="46">
        <v>723145</v>
      </c>
      <c r="E126" s="46">
        <v>640033</v>
      </c>
      <c r="F126">
        <v>4.3899999999999997</v>
      </c>
      <c r="G126">
        <v>17.95</v>
      </c>
      <c r="H126" s="46">
        <v>5940515</v>
      </c>
      <c r="I126" s="46">
        <v>6071675</v>
      </c>
      <c r="J126">
        <v>-2.16</v>
      </c>
      <c r="K126">
        <v>1</v>
      </c>
    </row>
    <row r="127" spans="1:11" customFormat="1" hidden="1">
      <c r="A127">
        <v>6287</v>
      </c>
      <c r="B127" t="s">
        <v>2024</v>
      </c>
      <c r="C127" s="46">
        <v>86695</v>
      </c>
      <c r="D127" s="46">
        <v>76837</v>
      </c>
      <c r="E127" s="46">
        <v>77074</v>
      </c>
      <c r="F127">
        <v>12.82</v>
      </c>
      <c r="G127">
        <v>12.48</v>
      </c>
      <c r="H127" s="46">
        <v>700837</v>
      </c>
      <c r="I127" s="46">
        <v>598137</v>
      </c>
      <c r="J127">
        <v>17.16</v>
      </c>
      <c r="K127" s="286">
        <v>1</v>
      </c>
    </row>
    <row r="128" spans="1:11" customFormat="1" hidden="1">
      <c r="A128">
        <v>6284</v>
      </c>
      <c r="B128" t="s">
        <v>2087</v>
      </c>
      <c r="C128" s="46">
        <v>315787</v>
      </c>
      <c r="D128" s="46">
        <v>358852</v>
      </c>
      <c r="E128" s="46">
        <v>326050</v>
      </c>
      <c r="F128">
        <v>-12</v>
      </c>
      <c r="G128">
        <v>-3.14</v>
      </c>
      <c r="H128" s="46">
        <v>2856883</v>
      </c>
      <c r="I128" s="46">
        <v>2764528</v>
      </c>
      <c r="J128">
        <v>3.34</v>
      </c>
      <c r="K128">
        <v>1</v>
      </c>
    </row>
    <row r="129" spans="1:11" customFormat="1" hidden="1">
      <c r="A129">
        <v>6279</v>
      </c>
      <c r="B129" t="s">
        <v>1767</v>
      </c>
      <c r="C129" s="46">
        <v>286142</v>
      </c>
      <c r="D129" s="46">
        <v>261954</v>
      </c>
      <c r="E129" s="46">
        <v>298965</v>
      </c>
      <c r="F129">
        <v>9.23</v>
      </c>
      <c r="G129">
        <v>-4.28</v>
      </c>
      <c r="H129" s="46">
        <v>2714195</v>
      </c>
      <c r="I129" s="46">
        <v>2595262</v>
      </c>
      <c r="J129">
        <v>4.58</v>
      </c>
      <c r="K129" s="286">
        <v>1</v>
      </c>
    </row>
    <row r="130" spans="1:11" customFormat="1" hidden="1">
      <c r="A130">
        <v>6276</v>
      </c>
      <c r="B130" t="s">
        <v>495</v>
      </c>
      <c r="C130" s="46">
        <v>93350</v>
      </c>
      <c r="D130" s="46">
        <v>94702</v>
      </c>
      <c r="E130" s="46">
        <v>101338</v>
      </c>
      <c r="F130">
        <v>-1.42</v>
      </c>
      <c r="G130">
        <v>-7.88</v>
      </c>
      <c r="H130" s="46">
        <v>1095936</v>
      </c>
      <c r="I130" s="46">
        <v>1268374</v>
      </c>
      <c r="J130">
        <v>-13.59</v>
      </c>
      <c r="K130">
        <v>0</v>
      </c>
    </row>
    <row r="131" spans="1:11" customFormat="1" hidden="1">
      <c r="A131">
        <v>6275</v>
      </c>
      <c r="B131" t="s">
        <v>2272</v>
      </c>
      <c r="C131" s="46">
        <v>130867</v>
      </c>
      <c r="D131" s="46">
        <v>160481</v>
      </c>
      <c r="E131" s="46">
        <v>163458</v>
      </c>
      <c r="F131">
        <v>-18.45</v>
      </c>
      <c r="G131">
        <v>-19.93</v>
      </c>
      <c r="H131" s="46">
        <v>1701537</v>
      </c>
      <c r="I131" s="46">
        <v>1827804</v>
      </c>
      <c r="J131">
        <v>-6.9</v>
      </c>
      <c r="K131" s="286">
        <v>0</v>
      </c>
    </row>
    <row r="132" spans="1:11" customFormat="1" hidden="1">
      <c r="A132">
        <v>6274</v>
      </c>
      <c r="B132" t="s">
        <v>494</v>
      </c>
      <c r="C132" s="46">
        <v>1054928</v>
      </c>
      <c r="D132" s="46">
        <v>1175102</v>
      </c>
      <c r="E132" s="46">
        <v>1204861</v>
      </c>
      <c r="F132">
        <v>-10.220000000000001</v>
      </c>
      <c r="G132">
        <v>-12.44</v>
      </c>
      <c r="H132" s="46">
        <v>10730967</v>
      </c>
      <c r="I132" s="46">
        <v>11144259</v>
      </c>
      <c r="J132">
        <v>-3.7</v>
      </c>
      <c r="K132">
        <v>0</v>
      </c>
    </row>
    <row r="133" spans="1:11" customFormat="1" hidden="1">
      <c r="A133">
        <v>6270</v>
      </c>
      <c r="B133" t="s">
        <v>2096</v>
      </c>
      <c r="C133" s="46">
        <v>202520</v>
      </c>
      <c r="D133" s="46">
        <v>177348</v>
      </c>
      <c r="E133" s="46">
        <v>216281</v>
      </c>
      <c r="F133">
        <v>14.19</v>
      </c>
      <c r="G133">
        <v>-6.36</v>
      </c>
      <c r="H133" s="46">
        <v>1873245</v>
      </c>
      <c r="I133" s="46">
        <v>1942352</v>
      </c>
      <c r="J133">
        <v>-3.55</v>
      </c>
      <c r="K133">
        <v>1</v>
      </c>
    </row>
    <row r="134" spans="1:11" customFormat="1" hidden="1">
      <c r="A134">
        <v>6266</v>
      </c>
      <c r="B134" t="s">
        <v>2086</v>
      </c>
      <c r="C134" s="46">
        <v>196342</v>
      </c>
      <c r="D134" s="46">
        <v>161164</v>
      </c>
      <c r="E134" s="46">
        <v>167053</v>
      </c>
      <c r="F134">
        <v>21.82</v>
      </c>
      <c r="G134">
        <v>17.53</v>
      </c>
      <c r="H134" s="46">
        <v>1736265</v>
      </c>
      <c r="I134" s="46">
        <v>1621279</v>
      </c>
      <c r="J134">
        <v>7.09</v>
      </c>
      <c r="K134" s="286">
        <v>1</v>
      </c>
    </row>
    <row r="135" spans="1:11" customFormat="1" hidden="1">
      <c r="A135">
        <v>6265</v>
      </c>
      <c r="B135" t="s">
        <v>493</v>
      </c>
      <c r="C135" s="46">
        <v>796697</v>
      </c>
      <c r="D135" s="46">
        <v>658368</v>
      </c>
      <c r="E135" s="46">
        <v>1157276</v>
      </c>
      <c r="F135">
        <v>21.01</v>
      </c>
      <c r="G135">
        <v>-31.15</v>
      </c>
      <c r="H135" s="46">
        <v>7382867</v>
      </c>
      <c r="I135" s="46">
        <v>10657038</v>
      </c>
      <c r="J135">
        <v>-30.72</v>
      </c>
      <c r="K135">
        <v>1</v>
      </c>
    </row>
    <row r="136" spans="1:11" customFormat="1" hidden="1">
      <c r="A136">
        <v>6264</v>
      </c>
      <c r="B136" t="s">
        <v>492</v>
      </c>
      <c r="C136" s="46">
        <v>4256</v>
      </c>
      <c r="D136" s="46">
        <v>3386</v>
      </c>
      <c r="E136" s="46">
        <v>1017</v>
      </c>
      <c r="F136">
        <v>25.69</v>
      </c>
      <c r="G136">
        <v>318.48</v>
      </c>
      <c r="H136" s="46">
        <v>24757</v>
      </c>
      <c r="I136" s="46">
        <v>96381</v>
      </c>
      <c r="J136">
        <v>-74.31</v>
      </c>
      <c r="K136" s="286">
        <v>1</v>
      </c>
    </row>
    <row r="137" spans="1:11" customFormat="1" hidden="1">
      <c r="A137">
        <v>6263</v>
      </c>
      <c r="B137" t="s">
        <v>2055</v>
      </c>
      <c r="C137" s="46">
        <v>110019</v>
      </c>
      <c r="D137" s="46">
        <v>108421</v>
      </c>
      <c r="E137" s="46">
        <v>108618</v>
      </c>
      <c r="F137">
        <v>1.47</v>
      </c>
      <c r="G137">
        <v>1.28</v>
      </c>
      <c r="H137" s="46">
        <v>1055734</v>
      </c>
      <c r="I137" s="46">
        <v>1033617</v>
      </c>
      <c r="J137">
        <v>2.13</v>
      </c>
      <c r="K137">
        <v>0</v>
      </c>
    </row>
    <row r="138" spans="1:11" customFormat="1" hidden="1">
      <c r="A138">
        <v>6261</v>
      </c>
      <c r="B138" t="s">
        <v>491</v>
      </c>
      <c r="C138" s="46">
        <v>307626</v>
      </c>
      <c r="D138" s="46">
        <v>296012</v>
      </c>
      <c r="E138" s="46">
        <v>351282</v>
      </c>
      <c r="F138">
        <v>3.92</v>
      </c>
      <c r="G138">
        <v>-12.42</v>
      </c>
      <c r="H138" s="46">
        <v>3117186</v>
      </c>
      <c r="I138" s="46">
        <v>3450699</v>
      </c>
      <c r="J138">
        <v>-9.66</v>
      </c>
      <c r="K138" s="286">
        <v>0</v>
      </c>
    </row>
    <row r="139" spans="1:11" customFormat="1" hidden="1">
      <c r="A139">
        <v>6259</v>
      </c>
      <c r="B139" t="s">
        <v>490</v>
      </c>
      <c r="C139" s="46">
        <v>73604</v>
      </c>
      <c r="D139" s="46">
        <v>81933</v>
      </c>
      <c r="E139" s="46">
        <v>109139</v>
      </c>
      <c r="F139">
        <v>-10.16</v>
      </c>
      <c r="G139">
        <v>-32.549999999999997</v>
      </c>
      <c r="H139" s="46">
        <v>1039784</v>
      </c>
      <c r="I139" s="46">
        <v>1205882</v>
      </c>
      <c r="J139">
        <v>-13.77</v>
      </c>
      <c r="K139">
        <v>0</v>
      </c>
    </row>
    <row r="140" spans="1:11" customFormat="1" hidden="1">
      <c r="A140">
        <v>6250</v>
      </c>
      <c r="B140" t="s">
        <v>489</v>
      </c>
      <c r="C140" s="46">
        <v>6005</v>
      </c>
      <c r="D140" s="46">
        <v>5740</v>
      </c>
      <c r="E140" s="46">
        <v>10721</v>
      </c>
      <c r="F140">
        <v>4.6100000000000003</v>
      </c>
      <c r="G140">
        <v>-43.98</v>
      </c>
      <c r="H140" s="46">
        <v>111123</v>
      </c>
      <c r="I140" s="46">
        <v>210664</v>
      </c>
      <c r="J140">
        <v>-47.25</v>
      </c>
      <c r="K140" s="286">
        <v>0</v>
      </c>
    </row>
    <row r="141" spans="1:11" customFormat="1" hidden="1">
      <c r="A141">
        <v>6248</v>
      </c>
      <c r="B141" t="s">
        <v>488</v>
      </c>
      <c r="C141" s="46">
        <v>131741</v>
      </c>
      <c r="D141" s="46">
        <v>77156</v>
      </c>
      <c r="E141" s="46">
        <v>188785</v>
      </c>
      <c r="F141">
        <v>70.739999999999995</v>
      </c>
      <c r="G141">
        <v>-30.21</v>
      </c>
      <c r="H141" s="46">
        <v>1048669</v>
      </c>
      <c r="I141" s="46">
        <v>755936</v>
      </c>
      <c r="J141">
        <v>38.72</v>
      </c>
      <c r="K141" s="286">
        <v>1</v>
      </c>
    </row>
    <row r="142" spans="1:11" customFormat="1" hidden="1">
      <c r="A142">
        <v>6247</v>
      </c>
      <c r="B142" t="s">
        <v>1762</v>
      </c>
      <c r="C142" s="46">
        <v>95713</v>
      </c>
      <c r="D142" s="46">
        <v>189291</v>
      </c>
      <c r="E142" s="46">
        <v>129827</v>
      </c>
      <c r="F142">
        <v>-49.43</v>
      </c>
      <c r="G142">
        <v>-26.27</v>
      </c>
      <c r="H142" s="46">
        <v>1131666</v>
      </c>
      <c r="I142" s="46">
        <v>954774</v>
      </c>
      <c r="J142">
        <v>18.52</v>
      </c>
      <c r="K142" s="286">
        <v>0</v>
      </c>
    </row>
    <row r="143" spans="1:11" customFormat="1" hidden="1">
      <c r="A143">
        <v>6246</v>
      </c>
      <c r="B143" t="s">
        <v>487</v>
      </c>
      <c r="C143" s="46">
        <v>51392</v>
      </c>
      <c r="D143" s="46">
        <v>60724</v>
      </c>
      <c r="E143" s="46">
        <v>88258</v>
      </c>
      <c r="F143">
        <v>-15.36</v>
      </c>
      <c r="G143">
        <v>-41.77</v>
      </c>
      <c r="H143" s="46">
        <v>750969</v>
      </c>
      <c r="I143" s="46">
        <v>1455845</v>
      </c>
      <c r="J143">
        <v>-48.41</v>
      </c>
      <c r="K143">
        <v>0</v>
      </c>
    </row>
    <row r="144" spans="1:11" customFormat="1" hidden="1">
      <c r="A144">
        <v>6245</v>
      </c>
      <c r="B144" t="s">
        <v>2223</v>
      </c>
      <c r="C144" s="46">
        <v>415200</v>
      </c>
      <c r="D144" s="46">
        <v>507444</v>
      </c>
      <c r="E144" s="46">
        <v>359510</v>
      </c>
      <c r="F144">
        <v>-18.170000000000002</v>
      </c>
      <c r="G144">
        <v>15.49</v>
      </c>
      <c r="H144" s="46">
        <v>4252893</v>
      </c>
      <c r="I144" s="46">
        <v>3527720</v>
      </c>
      <c r="J144">
        <v>20.55</v>
      </c>
      <c r="K144">
        <v>0</v>
      </c>
    </row>
    <row r="145" spans="1:11" customFormat="1" hidden="1">
      <c r="A145">
        <v>6244</v>
      </c>
      <c r="B145" t="s">
        <v>486</v>
      </c>
      <c r="C145" s="46">
        <v>2584126</v>
      </c>
      <c r="D145" s="46">
        <v>2539408</v>
      </c>
      <c r="E145" s="46">
        <v>1549830</v>
      </c>
      <c r="F145">
        <v>1.76</v>
      </c>
      <c r="G145">
        <v>66.73</v>
      </c>
      <c r="H145" s="46">
        <v>19007524</v>
      </c>
      <c r="I145" s="46">
        <v>16665599</v>
      </c>
      <c r="J145">
        <v>14.05</v>
      </c>
      <c r="K145">
        <v>1</v>
      </c>
    </row>
    <row r="146" spans="1:11" customFormat="1" hidden="1">
      <c r="A146">
        <v>6242</v>
      </c>
      <c r="B146" t="s">
        <v>1760</v>
      </c>
      <c r="C146" s="46">
        <v>44169</v>
      </c>
      <c r="D146" s="46">
        <v>31557</v>
      </c>
      <c r="E146" s="46">
        <v>42165</v>
      </c>
      <c r="F146">
        <v>39.96</v>
      </c>
      <c r="G146">
        <v>4.75</v>
      </c>
      <c r="H146" s="46">
        <v>377171</v>
      </c>
      <c r="I146" s="46">
        <v>186716</v>
      </c>
      <c r="J146">
        <v>102</v>
      </c>
      <c r="K146" s="286">
        <v>1</v>
      </c>
    </row>
    <row r="147" spans="1:11" customFormat="1" hidden="1">
      <c r="A147">
        <v>6241</v>
      </c>
      <c r="B147" t="s">
        <v>485</v>
      </c>
      <c r="C147" s="46">
        <v>20873</v>
      </c>
      <c r="D147" s="46">
        <v>20256</v>
      </c>
      <c r="E147" s="46">
        <v>25896</v>
      </c>
      <c r="F147">
        <v>3.04</v>
      </c>
      <c r="G147">
        <v>-19.39</v>
      </c>
      <c r="H147" s="46">
        <v>115493</v>
      </c>
      <c r="I147" s="46">
        <v>512239</v>
      </c>
      <c r="J147">
        <v>-77.45</v>
      </c>
      <c r="K147">
        <v>1</v>
      </c>
    </row>
    <row r="148" spans="1:11" customFormat="1" hidden="1">
      <c r="A148">
        <v>6240</v>
      </c>
      <c r="B148" t="s">
        <v>2262</v>
      </c>
      <c r="C148" s="46">
        <v>4994</v>
      </c>
      <c r="D148" s="46">
        <v>18454</v>
      </c>
      <c r="E148" s="46">
        <v>23298</v>
      </c>
      <c r="F148">
        <v>-72.930000000000007</v>
      </c>
      <c r="G148">
        <v>-78.56</v>
      </c>
      <c r="H148" s="46">
        <v>177725</v>
      </c>
      <c r="I148" s="46">
        <v>273801</v>
      </c>
      <c r="J148">
        <v>-35.08</v>
      </c>
      <c r="K148">
        <v>0</v>
      </c>
    </row>
    <row r="149" spans="1:11" customFormat="1" hidden="1">
      <c r="A149">
        <v>6238</v>
      </c>
      <c r="B149" t="s">
        <v>2109</v>
      </c>
      <c r="C149" s="46">
        <v>233662</v>
      </c>
      <c r="D149" s="46">
        <v>242836</v>
      </c>
      <c r="E149" s="46">
        <v>132388</v>
      </c>
      <c r="F149">
        <v>-3.77</v>
      </c>
      <c r="G149">
        <v>76.489999999999995</v>
      </c>
      <c r="H149" s="46">
        <v>2094728</v>
      </c>
      <c r="I149" s="46">
        <v>976527</v>
      </c>
      <c r="J149">
        <v>114.5</v>
      </c>
      <c r="K149">
        <v>1</v>
      </c>
    </row>
    <row r="150" spans="1:11" customFormat="1" hidden="1">
      <c r="A150">
        <v>6237</v>
      </c>
      <c r="B150" t="s">
        <v>484</v>
      </c>
      <c r="C150" s="46">
        <v>35556</v>
      </c>
      <c r="D150" s="46">
        <v>29825</v>
      </c>
      <c r="E150" s="46">
        <v>30290</v>
      </c>
      <c r="F150">
        <v>19.21</v>
      </c>
      <c r="G150">
        <v>17.38</v>
      </c>
      <c r="H150" s="46">
        <v>299746</v>
      </c>
      <c r="I150" s="46">
        <v>298251</v>
      </c>
      <c r="J150">
        <v>0.5</v>
      </c>
      <c r="K150">
        <v>1</v>
      </c>
    </row>
    <row r="151" spans="1:11" customFormat="1" hidden="1">
      <c r="A151">
        <v>6236</v>
      </c>
      <c r="B151" t="s">
        <v>483</v>
      </c>
      <c r="C151" s="46">
        <v>11642</v>
      </c>
      <c r="D151" s="46">
        <v>11626</v>
      </c>
      <c r="E151" s="46">
        <v>24068</v>
      </c>
      <c r="F151">
        <v>0.13</v>
      </c>
      <c r="G151">
        <v>-51.62</v>
      </c>
      <c r="H151" s="46">
        <v>110668</v>
      </c>
      <c r="I151" s="46">
        <v>186740</v>
      </c>
      <c r="J151">
        <v>-40.729999999999997</v>
      </c>
      <c r="K151">
        <v>1</v>
      </c>
    </row>
    <row r="152" spans="1:11" customFormat="1" hidden="1">
      <c r="A152">
        <v>6234</v>
      </c>
      <c r="B152" t="s">
        <v>482</v>
      </c>
      <c r="C152" s="46">
        <v>80132</v>
      </c>
      <c r="D152" s="46">
        <v>80155</v>
      </c>
      <c r="E152" s="46">
        <v>97568</v>
      </c>
      <c r="F152">
        <v>-0.02</v>
      </c>
      <c r="G152">
        <v>-17.87</v>
      </c>
      <c r="H152" s="46">
        <v>983776</v>
      </c>
      <c r="I152" s="46">
        <v>723031</v>
      </c>
      <c r="J152">
        <v>36.06</v>
      </c>
      <c r="K152">
        <v>0</v>
      </c>
    </row>
    <row r="153" spans="1:11" customFormat="1" hidden="1">
      <c r="A153">
        <v>6233</v>
      </c>
      <c r="B153" t="s">
        <v>2023</v>
      </c>
      <c r="C153" s="46">
        <v>41969</v>
      </c>
      <c r="D153" s="46">
        <v>49335</v>
      </c>
      <c r="E153" s="46">
        <v>26313</v>
      </c>
      <c r="F153">
        <v>-14.93</v>
      </c>
      <c r="G153">
        <v>59.49</v>
      </c>
      <c r="H153" s="46">
        <v>364513</v>
      </c>
      <c r="I153" s="46">
        <v>275841</v>
      </c>
      <c r="J153">
        <v>32.14</v>
      </c>
      <c r="K153" s="286">
        <v>1</v>
      </c>
    </row>
    <row r="154" spans="1:11" customFormat="1" hidden="1">
      <c r="A154">
        <v>6231</v>
      </c>
      <c r="B154" t="s">
        <v>481</v>
      </c>
      <c r="C154" s="46">
        <v>71728</v>
      </c>
      <c r="D154" s="46">
        <v>80602</v>
      </c>
      <c r="E154" s="46">
        <v>70412</v>
      </c>
      <c r="F154">
        <v>-11</v>
      </c>
      <c r="G154">
        <v>1.86</v>
      </c>
      <c r="H154" s="46">
        <v>688906</v>
      </c>
      <c r="I154" s="46">
        <v>717230</v>
      </c>
      <c r="J154">
        <v>-3.94</v>
      </c>
      <c r="K154" s="286">
        <v>0</v>
      </c>
    </row>
    <row r="155" spans="1:11" customFormat="1" hidden="1">
      <c r="A155">
        <v>6229</v>
      </c>
      <c r="B155" t="s">
        <v>480</v>
      </c>
      <c r="C155" s="46">
        <v>89371</v>
      </c>
      <c r="D155" s="46">
        <v>107137</v>
      </c>
      <c r="E155" s="46">
        <v>122755</v>
      </c>
      <c r="F155">
        <v>-16.579999999999998</v>
      </c>
      <c r="G155">
        <v>-27.19</v>
      </c>
      <c r="H155" s="46">
        <v>749690</v>
      </c>
      <c r="I155" s="46">
        <v>772067</v>
      </c>
      <c r="J155">
        <v>-2.89</v>
      </c>
      <c r="K155">
        <v>1</v>
      </c>
    </row>
    <row r="156" spans="1:11" customFormat="1" hidden="1">
      <c r="A156">
        <v>6228</v>
      </c>
      <c r="B156" t="s">
        <v>2199</v>
      </c>
      <c r="C156" s="46">
        <v>9749</v>
      </c>
      <c r="D156" s="46">
        <v>10450</v>
      </c>
      <c r="E156" s="46">
        <v>29037</v>
      </c>
      <c r="F156">
        <v>-6.7</v>
      </c>
      <c r="G156">
        <v>-66.42</v>
      </c>
      <c r="H156" s="46">
        <v>88673</v>
      </c>
      <c r="I156" s="46">
        <v>113706</v>
      </c>
      <c r="J156">
        <v>-22.01</v>
      </c>
      <c r="K156" s="286">
        <v>1</v>
      </c>
    </row>
    <row r="157" spans="1:11" customFormat="1" hidden="1">
      <c r="A157">
        <v>6227</v>
      </c>
      <c r="B157" t="s">
        <v>479</v>
      </c>
      <c r="C157" s="46">
        <v>710540</v>
      </c>
      <c r="D157" s="46">
        <v>735383</v>
      </c>
      <c r="E157" s="46">
        <v>425221</v>
      </c>
      <c r="F157">
        <v>-3.37</v>
      </c>
      <c r="G157">
        <v>67.09</v>
      </c>
      <c r="H157" s="46">
        <v>4383722</v>
      </c>
      <c r="I157" s="46">
        <v>3637639</v>
      </c>
      <c r="J157">
        <v>20.51</v>
      </c>
      <c r="K157" s="286">
        <v>1</v>
      </c>
    </row>
    <row r="158" spans="1:11" customFormat="1" hidden="1">
      <c r="A158">
        <v>6223</v>
      </c>
      <c r="B158" t="s">
        <v>478</v>
      </c>
      <c r="C158" s="46">
        <v>319530</v>
      </c>
      <c r="D158" s="46">
        <v>349610</v>
      </c>
      <c r="E158" s="46">
        <v>408601</v>
      </c>
      <c r="F158">
        <v>-8.6</v>
      </c>
      <c r="G158">
        <v>-21.79</v>
      </c>
      <c r="H158" s="46">
        <v>3329143</v>
      </c>
      <c r="I158" s="46">
        <v>3365459</v>
      </c>
      <c r="J158">
        <v>-1.07</v>
      </c>
      <c r="K158" s="286">
        <v>0</v>
      </c>
    </row>
    <row r="159" spans="1:11" customFormat="1" hidden="1">
      <c r="A159">
        <v>6222</v>
      </c>
      <c r="B159" t="s">
        <v>2198</v>
      </c>
      <c r="C159" s="46">
        <v>3501</v>
      </c>
      <c r="D159" s="46">
        <v>3056</v>
      </c>
      <c r="E159" s="46">
        <v>6294</v>
      </c>
      <c r="F159">
        <v>14.56</v>
      </c>
      <c r="G159">
        <v>-44.37</v>
      </c>
      <c r="H159" s="46">
        <v>65944</v>
      </c>
      <c r="I159" s="46">
        <v>153236</v>
      </c>
      <c r="J159">
        <v>-56.96</v>
      </c>
      <c r="K159" s="286">
        <v>0</v>
      </c>
    </row>
    <row r="160" spans="1:11" customFormat="1" hidden="1">
      <c r="A160">
        <v>6221</v>
      </c>
      <c r="B160" t="s">
        <v>477</v>
      </c>
      <c r="C160" s="46">
        <v>155209</v>
      </c>
      <c r="D160" s="46">
        <v>139863</v>
      </c>
      <c r="E160" s="46">
        <v>199108</v>
      </c>
      <c r="F160">
        <v>10.97</v>
      </c>
      <c r="G160">
        <v>-22.04</v>
      </c>
      <c r="H160" s="46">
        <v>1747659</v>
      </c>
      <c r="I160" s="46">
        <v>1521004</v>
      </c>
      <c r="J160">
        <v>14.9</v>
      </c>
      <c r="K160">
        <v>0</v>
      </c>
    </row>
    <row r="161" spans="1:11" customFormat="1" hidden="1">
      <c r="A161">
        <v>6220</v>
      </c>
      <c r="B161" t="s">
        <v>476</v>
      </c>
      <c r="C161" s="46">
        <v>629855</v>
      </c>
      <c r="D161" s="46">
        <v>841144</v>
      </c>
      <c r="E161" s="46">
        <v>636198</v>
      </c>
      <c r="F161">
        <v>-25.11</v>
      </c>
      <c r="G161">
        <v>-0.99</v>
      </c>
      <c r="H161" s="46">
        <v>5632144</v>
      </c>
      <c r="I161" s="46">
        <v>5359898</v>
      </c>
      <c r="J161">
        <v>5.07</v>
      </c>
      <c r="K161">
        <v>1</v>
      </c>
    </row>
    <row r="162" spans="1:11" customFormat="1" hidden="1">
      <c r="A162">
        <v>6219</v>
      </c>
      <c r="B162" t="s">
        <v>2278</v>
      </c>
      <c r="C162" s="46">
        <v>76020</v>
      </c>
      <c r="D162" s="46">
        <v>188776</v>
      </c>
      <c r="E162" s="46">
        <v>23603</v>
      </c>
      <c r="F162">
        <v>-59.73</v>
      </c>
      <c r="G162">
        <v>222.07</v>
      </c>
      <c r="H162" s="46">
        <v>799449</v>
      </c>
      <c r="I162" s="46">
        <v>1049806</v>
      </c>
      <c r="J162">
        <v>-23.84</v>
      </c>
      <c r="K162" s="286">
        <v>0</v>
      </c>
    </row>
    <row r="163" spans="1:11" customFormat="1" hidden="1">
      <c r="A163">
        <v>6218</v>
      </c>
      <c r="B163" t="s">
        <v>2054</v>
      </c>
      <c r="C163" s="46">
        <v>69863</v>
      </c>
      <c r="D163" s="46">
        <v>82528</v>
      </c>
      <c r="E163" s="46">
        <v>79455</v>
      </c>
      <c r="F163">
        <v>-15.34</v>
      </c>
      <c r="G163">
        <v>-12.07</v>
      </c>
      <c r="H163" s="46">
        <v>832451</v>
      </c>
      <c r="I163" s="46">
        <v>859289</v>
      </c>
      <c r="J163">
        <v>-3.12</v>
      </c>
      <c r="K163">
        <v>0</v>
      </c>
    </row>
    <row r="164" spans="1:11" customFormat="1">
      <c r="A164" s="62" t="str">
        <f>HYPERLINK("http://tw.stock.yahoo.com/q/ta?s=8096","8096")</f>
        <v>8096</v>
      </c>
      <c r="B164" s="62" t="str">
        <f>HYPERLINK("http://tw.stock.yahoo.com/d/s/earning_8096.html","擎亞科技")</f>
        <v>擎亞科技</v>
      </c>
      <c r="C164" s="46">
        <v>5532942</v>
      </c>
      <c r="D164" s="46">
        <v>5163976</v>
      </c>
      <c r="E164" s="46">
        <v>1623437</v>
      </c>
      <c r="F164">
        <v>7.14</v>
      </c>
      <c r="G164">
        <v>240.81</v>
      </c>
      <c r="H164" s="46">
        <v>33597343</v>
      </c>
      <c r="I164" s="46">
        <v>11580475</v>
      </c>
      <c r="J164">
        <v>190.12</v>
      </c>
      <c r="K164">
        <v>1</v>
      </c>
    </row>
    <row r="165" spans="1:11" customFormat="1" hidden="1">
      <c r="A165">
        <v>6212</v>
      </c>
      <c r="B165" t="s">
        <v>475</v>
      </c>
      <c r="C165" s="46">
        <v>524</v>
      </c>
      <c r="D165" s="46">
        <v>6776</v>
      </c>
      <c r="E165" s="46">
        <v>0</v>
      </c>
      <c r="F165">
        <v>-92.26</v>
      </c>
      <c r="H165" s="46">
        <v>1304687</v>
      </c>
      <c r="I165" s="46">
        <v>3133</v>
      </c>
      <c r="J165" s="276">
        <v>41543.370000000003</v>
      </c>
      <c r="K165">
        <v>0</v>
      </c>
    </row>
    <row r="166" spans="1:11" customFormat="1" hidden="1">
      <c r="A166">
        <v>6211</v>
      </c>
      <c r="B166" t="s">
        <v>2085</v>
      </c>
      <c r="C166" s="46">
        <v>15010</v>
      </c>
      <c r="D166" s="46">
        <v>35013</v>
      </c>
      <c r="E166" s="46">
        <v>24271</v>
      </c>
      <c r="F166">
        <v>-57.13</v>
      </c>
      <c r="G166">
        <v>-38.15</v>
      </c>
      <c r="H166" s="46">
        <v>243576</v>
      </c>
      <c r="I166" s="46">
        <v>369239</v>
      </c>
      <c r="J166">
        <v>-34.03</v>
      </c>
      <c r="K166">
        <v>0</v>
      </c>
    </row>
    <row r="167" spans="1:11" customFormat="1" hidden="1">
      <c r="A167">
        <v>6210</v>
      </c>
      <c r="B167" t="s">
        <v>2242</v>
      </c>
      <c r="C167" s="46">
        <v>68792</v>
      </c>
      <c r="D167" s="46">
        <v>64756</v>
      </c>
      <c r="E167" s="46">
        <v>102625</v>
      </c>
      <c r="F167">
        <v>6.23</v>
      </c>
      <c r="G167">
        <v>-32.96</v>
      </c>
      <c r="H167" s="46">
        <v>823002</v>
      </c>
      <c r="I167" s="46">
        <v>852032</v>
      </c>
      <c r="J167">
        <v>-3.4</v>
      </c>
      <c r="K167">
        <v>0</v>
      </c>
    </row>
    <row r="168" spans="1:11" customFormat="1" hidden="1">
      <c r="A168">
        <v>6208</v>
      </c>
      <c r="B168" t="s">
        <v>2084</v>
      </c>
      <c r="C168" s="46">
        <v>117337</v>
      </c>
      <c r="D168" s="46">
        <v>118807</v>
      </c>
      <c r="E168" s="46">
        <v>146360</v>
      </c>
      <c r="F168">
        <v>-1.23</v>
      </c>
      <c r="G168">
        <v>-19.82</v>
      </c>
      <c r="H168" s="46">
        <v>1077678</v>
      </c>
      <c r="I168" s="46">
        <v>1187237</v>
      </c>
      <c r="J168">
        <v>-9.2200000000000006</v>
      </c>
      <c r="K168">
        <v>1</v>
      </c>
    </row>
    <row r="169" spans="1:11" customFormat="1" hidden="1">
      <c r="A169">
        <v>6207</v>
      </c>
      <c r="B169" t="s">
        <v>474</v>
      </c>
      <c r="C169" s="46">
        <v>151428</v>
      </c>
      <c r="D169" s="46">
        <v>165105</v>
      </c>
      <c r="E169" s="46">
        <v>177128</v>
      </c>
      <c r="F169">
        <v>-8.2799999999999994</v>
      </c>
      <c r="G169">
        <v>-14.5</v>
      </c>
      <c r="H169" s="46">
        <v>1689081</v>
      </c>
      <c r="I169" s="46">
        <v>1456594</v>
      </c>
      <c r="J169">
        <v>15.96</v>
      </c>
      <c r="K169" s="286">
        <v>0</v>
      </c>
    </row>
    <row r="170" spans="1:11" customFormat="1" hidden="1">
      <c r="A170">
        <v>6204</v>
      </c>
      <c r="B170" t="s">
        <v>2083</v>
      </c>
      <c r="C170" s="46">
        <v>41880</v>
      </c>
      <c r="D170" s="46">
        <v>44024</v>
      </c>
      <c r="E170" s="46">
        <v>41761</v>
      </c>
      <c r="F170">
        <v>-4.87</v>
      </c>
      <c r="G170">
        <v>0.28000000000000003</v>
      </c>
      <c r="H170" s="46">
        <v>504704</v>
      </c>
      <c r="I170" s="46">
        <v>545754</v>
      </c>
      <c r="J170">
        <v>-7.52</v>
      </c>
      <c r="K170">
        <v>0</v>
      </c>
    </row>
    <row r="171" spans="1:11" customFormat="1" hidden="1">
      <c r="A171">
        <v>6203</v>
      </c>
      <c r="B171" t="s">
        <v>473</v>
      </c>
      <c r="C171" s="46">
        <v>137130</v>
      </c>
      <c r="D171" s="46">
        <v>145254</v>
      </c>
      <c r="E171" s="46">
        <v>178619</v>
      </c>
      <c r="F171">
        <v>-5.59</v>
      </c>
      <c r="G171">
        <v>-23.22</v>
      </c>
      <c r="H171" s="46">
        <v>1392025</v>
      </c>
      <c r="I171" s="46">
        <v>2242568</v>
      </c>
      <c r="J171">
        <v>-37.92</v>
      </c>
      <c r="K171" s="286">
        <v>0</v>
      </c>
    </row>
    <row r="172" spans="1:11" customFormat="1" hidden="1">
      <c r="A172">
        <v>6199</v>
      </c>
      <c r="B172" t="s">
        <v>2300</v>
      </c>
      <c r="C172" s="46">
        <v>5949</v>
      </c>
      <c r="D172" s="46">
        <v>7617</v>
      </c>
      <c r="E172" s="46">
        <v>13990</v>
      </c>
      <c r="F172">
        <v>-21.89</v>
      </c>
      <c r="G172">
        <v>-57.47</v>
      </c>
      <c r="H172" s="46">
        <v>55549</v>
      </c>
      <c r="I172" s="46">
        <v>61044</v>
      </c>
      <c r="J172">
        <v>-9</v>
      </c>
      <c r="K172">
        <v>1</v>
      </c>
    </row>
    <row r="173" spans="1:11" customFormat="1" hidden="1">
      <c r="A173">
        <v>6198</v>
      </c>
      <c r="B173" t="s">
        <v>2022</v>
      </c>
      <c r="C173" s="46">
        <v>3534</v>
      </c>
      <c r="D173" s="46">
        <v>7310</v>
      </c>
      <c r="E173" s="46">
        <v>9052</v>
      </c>
      <c r="F173">
        <v>-51.65</v>
      </c>
      <c r="G173">
        <v>-60.95</v>
      </c>
      <c r="H173" s="46">
        <v>63399</v>
      </c>
      <c r="I173" s="46">
        <v>73005</v>
      </c>
      <c r="J173">
        <v>-13.15</v>
      </c>
      <c r="K173">
        <v>0</v>
      </c>
    </row>
    <row r="174" spans="1:11" customFormat="1" hidden="1">
      <c r="A174">
        <v>6195</v>
      </c>
      <c r="B174" t="s">
        <v>472</v>
      </c>
      <c r="C174" s="46">
        <v>134326</v>
      </c>
      <c r="D174" s="46">
        <v>122972</v>
      </c>
      <c r="E174" s="46">
        <v>140363</v>
      </c>
      <c r="F174">
        <v>9.23</v>
      </c>
      <c r="G174">
        <v>-4.3</v>
      </c>
      <c r="H174" s="46">
        <v>1300236</v>
      </c>
      <c r="I174" s="46">
        <v>1397843</v>
      </c>
      <c r="J174">
        <v>-6.98</v>
      </c>
      <c r="K174">
        <v>0</v>
      </c>
    </row>
    <row r="175" spans="1:11" customFormat="1" hidden="1">
      <c r="A175">
        <v>6194</v>
      </c>
      <c r="B175" t="s">
        <v>2241</v>
      </c>
      <c r="C175" s="46">
        <v>42607</v>
      </c>
      <c r="D175" s="46">
        <v>42999</v>
      </c>
      <c r="E175" s="46">
        <v>34718</v>
      </c>
      <c r="F175">
        <v>-0.91</v>
      </c>
      <c r="G175">
        <v>22.72</v>
      </c>
      <c r="H175" s="46">
        <v>212444</v>
      </c>
      <c r="I175" s="46">
        <v>468476</v>
      </c>
      <c r="J175">
        <v>-54.65</v>
      </c>
      <c r="K175" s="286">
        <v>1</v>
      </c>
    </row>
    <row r="176" spans="1:11" customFormat="1" hidden="1">
      <c r="A176">
        <v>6190</v>
      </c>
      <c r="B176" t="s">
        <v>471</v>
      </c>
      <c r="C176" s="46">
        <v>328849</v>
      </c>
      <c r="D176" s="46">
        <v>311153</v>
      </c>
      <c r="E176" s="46">
        <v>355435</v>
      </c>
      <c r="F176">
        <v>5.68</v>
      </c>
      <c r="G176">
        <v>-7.47</v>
      </c>
      <c r="H176" s="46">
        <v>3325467</v>
      </c>
      <c r="I176" s="46">
        <v>3558128</v>
      </c>
      <c r="J176">
        <v>-6.53</v>
      </c>
      <c r="K176">
        <v>0</v>
      </c>
    </row>
    <row r="177" spans="1:11" customFormat="1" hidden="1">
      <c r="A177">
        <v>6188</v>
      </c>
      <c r="B177" t="s">
        <v>2197</v>
      </c>
      <c r="C177" s="46">
        <v>768835</v>
      </c>
      <c r="D177" s="46">
        <v>937640</v>
      </c>
      <c r="E177" s="46">
        <v>1190862</v>
      </c>
      <c r="F177">
        <v>-18</v>
      </c>
      <c r="G177">
        <v>-35.43</v>
      </c>
      <c r="H177" s="46">
        <v>8866541</v>
      </c>
      <c r="I177" s="46">
        <v>13337835</v>
      </c>
      <c r="J177">
        <v>-33.520000000000003</v>
      </c>
      <c r="K177" s="286">
        <v>0</v>
      </c>
    </row>
    <row r="178" spans="1:11" customFormat="1" hidden="1">
      <c r="A178">
        <v>6187</v>
      </c>
      <c r="B178" t="s">
        <v>2108</v>
      </c>
      <c r="C178" s="46">
        <v>94732</v>
      </c>
      <c r="D178" s="46">
        <v>92182</v>
      </c>
      <c r="E178" s="46">
        <v>150037</v>
      </c>
      <c r="F178">
        <v>2.76</v>
      </c>
      <c r="G178">
        <v>-36.86</v>
      </c>
      <c r="H178" s="46">
        <v>1323674</v>
      </c>
      <c r="I178" s="46">
        <v>1265410</v>
      </c>
      <c r="J178">
        <v>4.5999999999999996</v>
      </c>
      <c r="K178" s="286">
        <v>0</v>
      </c>
    </row>
    <row r="179" spans="1:11" customFormat="1" hidden="1">
      <c r="A179">
        <v>6186</v>
      </c>
      <c r="B179" t="s">
        <v>470</v>
      </c>
      <c r="C179" s="46">
        <v>0</v>
      </c>
      <c r="D179" s="46">
        <v>10339</v>
      </c>
      <c r="E179" s="46">
        <v>0</v>
      </c>
      <c r="F179">
        <v>-100</v>
      </c>
      <c r="H179" s="46">
        <v>486371</v>
      </c>
      <c r="I179" s="46">
        <v>509774</v>
      </c>
      <c r="J179">
        <v>-4.59</v>
      </c>
      <c r="K179">
        <v>0</v>
      </c>
    </row>
    <row r="180" spans="1:11" customFormat="1" hidden="1">
      <c r="A180">
        <v>6185</v>
      </c>
      <c r="B180" t="s">
        <v>2082</v>
      </c>
      <c r="C180" s="46">
        <v>133060</v>
      </c>
      <c r="D180" s="46">
        <v>132524</v>
      </c>
      <c r="E180" s="46">
        <v>139511</v>
      </c>
      <c r="F180">
        <v>0.4</v>
      </c>
      <c r="G180">
        <v>-4.62</v>
      </c>
      <c r="H180" s="46">
        <v>1200446</v>
      </c>
      <c r="I180" s="46">
        <v>1375599</v>
      </c>
      <c r="J180">
        <v>-12.73</v>
      </c>
      <c r="K180">
        <v>1</v>
      </c>
    </row>
    <row r="181" spans="1:11" customFormat="1" hidden="1">
      <c r="A181">
        <v>6182</v>
      </c>
      <c r="B181" t="s">
        <v>469</v>
      </c>
      <c r="C181" s="46">
        <v>398304</v>
      </c>
      <c r="D181" s="46">
        <v>471162</v>
      </c>
      <c r="E181" s="46">
        <v>490636</v>
      </c>
      <c r="F181">
        <v>-15.46</v>
      </c>
      <c r="G181">
        <v>-18.809999999999999</v>
      </c>
      <c r="H181" s="46">
        <v>4465943</v>
      </c>
      <c r="I181" s="46">
        <v>5023378</v>
      </c>
      <c r="J181">
        <v>-11.09</v>
      </c>
      <c r="K181">
        <v>0</v>
      </c>
    </row>
    <row r="182" spans="1:11" customFormat="1" hidden="1">
      <c r="A182">
        <v>6180</v>
      </c>
      <c r="B182" t="s">
        <v>2297</v>
      </c>
      <c r="C182" s="46">
        <v>792504</v>
      </c>
      <c r="D182" s="46">
        <v>860373</v>
      </c>
      <c r="E182" s="46">
        <v>601566</v>
      </c>
      <c r="F182">
        <v>-7.88</v>
      </c>
      <c r="G182">
        <v>31.74</v>
      </c>
      <c r="H182" s="46">
        <v>7954831</v>
      </c>
      <c r="I182" s="46">
        <v>7413111</v>
      </c>
      <c r="J182">
        <v>7.3</v>
      </c>
      <c r="K182">
        <v>0</v>
      </c>
    </row>
    <row r="183" spans="1:11" customFormat="1" hidden="1">
      <c r="A183">
        <v>6179</v>
      </c>
      <c r="B183" t="s">
        <v>468</v>
      </c>
      <c r="C183" s="46">
        <v>100403</v>
      </c>
      <c r="D183" s="46">
        <v>102421</v>
      </c>
      <c r="E183" s="46">
        <v>90637</v>
      </c>
      <c r="F183">
        <v>-1.97</v>
      </c>
      <c r="G183">
        <v>10.77</v>
      </c>
      <c r="H183" s="46">
        <v>1204259</v>
      </c>
      <c r="I183" s="46">
        <v>431876</v>
      </c>
      <c r="J183">
        <v>178.84</v>
      </c>
      <c r="K183">
        <v>0</v>
      </c>
    </row>
    <row r="184" spans="1:11" customFormat="1" hidden="1">
      <c r="A184">
        <v>6175</v>
      </c>
      <c r="B184" t="s">
        <v>467</v>
      </c>
      <c r="C184" s="46">
        <v>133875</v>
      </c>
      <c r="D184" s="46">
        <v>160686</v>
      </c>
      <c r="E184" s="46">
        <v>154956</v>
      </c>
      <c r="F184">
        <v>-16.68</v>
      </c>
      <c r="G184">
        <v>-13.6</v>
      </c>
      <c r="H184" s="46">
        <v>1638691</v>
      </c>
      <c r="I184" s="46">
        <v>1579997</v>
      </c>
      <c r="J184">
        <v>3.71</v>
      </c>
      <c r="K184">
        <v>0</v>
      </c>
    </row>
    <row r="185" spans="1:11" customFormat="1" hidden="1">
      <c r="A185">
        <v>6174</v>
      </c>
      <c r="B185" t="s">
        <v>2081</v>
      </c>
      <c r="C185" s="46">
        <v>41962</v>
      </c>
      <c r="D185" s="46">
        <v>45334</v>
      </c>
      <c r="E185" s="46">
        <v>47386</v>
      </c>
      <c r="F185">
        <v>-7.43</v>
      </c>
      <c r="G185">
        <v>-11.44</v>
      </c>
      <c r="H185" s="46">
        <v>453720</v>
      </c>
      <c r="I185" s="46">
        <v>492284</v>
      </c>
      <c r="J185">
        <v>-7.83</v>
      </c>
      <c r="K185">
        <v>0</v>
      </c>
    </row>
    <row r="186" spans="1:11" customFormat="1" hidden="1">
      <c r="A186">
        <v>6173</v>
      </c>
      <c r="B186" t="s">
        <v>2080</v>
      </c>
      <c r="C186" s="46">
        <v>204220</v>
      </c>
      <c r="D186" s="46">
        <v>210538</v>
      </c>
      <c r="E186" s="46">
        <v>217945</v>
      </c>
      <c r="F186">
        <v>-3</v>
      </c>
      <c r="G186">
        <v>-6.29</v>
      </c>
      <c r="H186" s="46">
        <v>1986762</v>
      </c>
      <c r="I186" s="46">
        <v>2092853</v>
      </c>
      <c r="J186">
        <v>-5.0599999999999996</v>
      </c>
      <c r="K186" s="286">
        <v>0</v>
      </c>
    </row>
    <row r="187" spans="1:11" customFormat="1" hidden="1">
      <c r="A187">
        <v>6171</v>
      </c>
      <c r="B187" t="s">
        <v>466</v>
      </c>
      <c r="C187" s="46">
        <v>14</v>
      </c>
      <c r="D187" s="46">
        <v>14</v>
      </c>
      <c r="E187" s="46">
        <v>14</v>
      </c>
      <c r="F187">
        <v>0</v>
      </c>
      <c r="G187">
        <v>0</v>
      </c>
      <c r="H187" s="46">
        <v>80251</v>
      </c>
      <c r="I187" s="46">
        <v>86</v>
      </c>
      <c r="J187" s="276">
        <v>93215.11</v>
      </c>
      <c r="K187" s="286">
        <v>0</v>
      </c>
    </row>
    <row r="188" spans="1:11" customFormat="1" hidden="1">
      <c r="A188">
        <v>6170</v>
      </c>
      <c r="B188" t="s">
        <v>465</v>
      </c>
      <c r="C188" s="46">
        <v>275521</v>
      </c>
      <c r="D188" s="46">
        <v>267137</v>
      </c>
      <c r="E188" s="46">
        <v>329474</v>
      </c>
      <c r="F188">
        <v>3.13</v>
      </c>
      <c r="G188">
        <v>-16.37</v>
      </c>
      <c r="H188" s="46">
        <v>3014641</v>
      </c>
      <c r="I188" s="46">
        <v>3835058</v>
      </c>
      <c r="J188">
        <v>-21.39</v>
      </c>
      <c r="K188">
        <v>0</v>
      </c>
    </row>
    <row r="189" spans="1:11" customFormat="1" hidden="1">
      <c r="A189">
        <v>6169</v>
      </c>
      <c r="B189" t="s">
        <v>2296</v>
      </c>
      <c r="C189" s="46">
        <v>12571</v>
      </c>
      <c r="D189" s="46">
        <v>20760</v>
      </c>
      <c r="E189" s="46">
        <v>14265</v>
      </c>
      <c r="F189">
        <v>-39.44</v>
      </c>
      <c r="G189">
        <v>-11.87</v>
      </c>
      <c r="H189" s="46">
        <v>147774</v>
      </c>
      <c r="I189" s="46">
        <v>194340</v>
      </c>
      <c r="J189">
        <v>-23.96</v>
      </c>
      <c r="K189" s="286">
        <v>0</v>
      </c>
    </row>
    <row r="190" spans="1:11" customFormat="1" hidden="1">
      <c r="A190">
        <v>6167</v>
      </c>
      <c r="B190" t="s">
        <v>2213</v>
      </c>
      <c r="C190" s="46">
        <v>146126</v>
      </c>
      <c r="D190" s="46">
        <v>163808</v>
      </c>
      <c r="E190" s="46">
        <v>194197</v>
      </c>
      <c r="F190">
        <v>-10.79</v>
      </c>
      <c r="G190">
        <v>-24.75</v>
      </c>
      <c r="H190" s="46">
        <v>1550859</v>
      </c>
      <c r="I190" s="46">
        <v>1755371</v>
      </c>
      <c r="J190">
        <v>-11.65</v>
      </c>
      <c r="K190">
        <v>0</v>
      </c>
    </row>
    <row r="191" spans="1:11" customFormat="1" hidden="1">
      <c r="A191">
        <v>6163</v>
      </c>
      <c r="B191" t="s">
        <v>464</v>
      </c>
      <c r="C191" s="46">
        <v>155621</v>
      </c>
      <c r="D191" s="46">
        <v>151423</v>
      </c>
      <c r="E191" s="46">
        <v>282662</v>
      </c>
      <c r="F191">
        <v>2.77</v>
      </c>
      <c r="G191">
        <v>-44.94</v>
      </c>
      <c r="H191" s="46">
        <v>2576522</v>
      </c>
      <c r="I191" s="46">
        <v>2558474</v>
      </c>
      <c r="J191">
        <v>0.7</v>
      </c>
      <c r="K191">
        <v>0</v>
      </c>
    </row>
    <row r="192" spans="1:11" customFormat="1" hidden="1">
      <c r="A192">
        <v>6161</v>
      </c>
      <c r="B192" t="s">
        <v>463</v>
      </c>
      <c r="C192" s="46">
        <v>195715</v>
      </c>
      <c r="D192" s="46">
        <v>254879</v>
      </c>
      <c r="E192" s="46">
        <v>265754</v>
      </c>
      <c r="F192">
        <v>-23.21</v>
      </c>
      <c r="G192">
        <v>-26.35</v>
      </c>
      <c r="H192" s="46">
        <v>2418598</v>
      </c>
      <c r="I192" s="46">
        <v>3582859</v>
      </c>
      <c r="J192">
        <v>-32.49</v>
      </c>
      <c r="K192">
        <v>0</v>
      </c>
    </row>
    <row r="193" spans="1:11" customFormat="1" hidden="1">
      <c r="A193">
        <v>6160</v>
      </c>
      <c r="B193" t="s">
        <v>2196</v>
      </c>
      <c r="C193" s="46">
        <v>102479</v>
      </c>
      <c r="D193" s="46">
        <v>84671</v>
      </c>
      <c r="E193" s="46">
        <v>127833</v>
      </c>
      <c r="F193">
        <v>21.03</v>
      </c>
      <c r="G193">
        <v>-19.829999999999998</v>
      </c>
      <c r="H193" s="46">
        <v>853570</v>
      </c>
      <c r="I193" s="46">
        <v>1116898</v>
      </c>
      <c r="J193">
        <v>-23.57</v>
      </c>
      <c r="K193">
        <v>1</v>
      </c>
    </row>
    <row r="194" spans="1:11" customFormat="1" hidden="1">
      <c r="A194">
        <v>6158</v>
      </c>
      <c r="B194" t="s">
        <v>462</v>
      </c>
      <c r="C194" s="46">
        <v>179233</v>
      </c>
      <c r="D194" s="46">
        <v>211465</v>
      </c>
      <c r="E194" s="46">
        <v>206506</v>
      </c>
      <c r="F194">
        <v>-15.24</v>
      </c>
      <c r="G194">
        <v>-13.2</v>
      </c>
      <c r="H194" s="46">
        <v>1854750</v>
      </c>
      <c r="I194" s="46">
        <v>2498240</v>
      </c>
      <c r="J194">
        <v>-25.75</v>
      </c>
      <c r="K194" s="286">
        <v>0</v>
      </c>
    </row>
    <row r="195" spans="1:11" customFormat="1" hidden="1">
      <c r="A195">
        <v>6156</v>
      </c>
      <c r="B195" t="s">
        <v>2240</v>
      </c>
      <c r="C195" s="46">
        <v>268300</v>
      </c>
      <c r="D195" s="46">
        <v>324121</v>
      </c>
      <c r="E195" s="46">
        <v>310048</v>
      </c>
      <c r="F195">
        <v>-17.22</v>
      </c>
      <c r="G195" s="276">
        <v>-13.46</v>
      </c>
      <c r="H195" s="46">
        <v>3350275</v>
      </c>
      <c r="I195" s="46">
        <v>3101144</v>
      </c>
      <c r="J195">
        <v>8.0299999999999994</v>
      </c>
      <c r="K195" s="286">
        <v>0</v>
      </c>
    </row>
    <row r="196" spans="1:11" customFormat="1" hidden="1">
      <c r="A196">
        <v>6154</v>
      </c>
      <c r="B196" t="s">
        <v>461</v>
      </c>
      <c r="C196" s="46">
        <v>398294</v>
      </c>
      <c r="D196" s="46">
        <v>476537</v>
      </c>
      <c r="E196" s="46">
        <v>423140</v>
      </c>
      <c r="F196">
        <v>-16.41</v>
      </c>
      <c r="G196">
        <v>-5.87</v>
      </c>
      <c r="H196" s="46">
        <v>4411101</v>
      </c>
      <c r="I196" s="46">
        <v>4599102</v>
      </c>
      <c r="J196">
        <v>-4.08</v>
      </c>
      <c r="K196">
        <v>0</v>
      </c>
    </row>
    <row r="197" spans="1:11" customFormat="1" hidden="1">
      <c r="A197">
        <v>6151</v>
      </c>
      <c r="B197" t="s">
        <v>2271</v>
      </c>
      <c r="C197" s="46">
        <v>145433</v>
      </c>
      <c r="D197" s="46">
        <v>158785</v>
      </c>
      <c r="E197" s="46">
        <v>155050</v>
      </c>
      <c r="F197">
        <v>-8.4</v>
      </c>
      <c r="G197">
        <v>-6.2</v>
      </c>
      <c r="H197" s="46">
        <v>1628510</v>
      </c>
      <c r="I197" s="46">
        <v>1699201</v>
      </c>
      <c r="J197">
        <v>-4.16</v>
      </c>
      <c r="K197" s="286">
        <v>0</v>
      </c>
    </row>
    <row r="198" spans="1:11" customFormat="1" hidden="1">
      <c r="A198">
        <v>6150</v>
      </c>
      <c r="B198" t="s">
        <v>2195</v>
      </c>
      <c r="C198" s="46">
        <v>141955</v>
      </c>
      <c r="D198" s="46">
        <v>221058</v>
      </c>
      <c r="E198" s="46">
        <v>179749</v>
      </c>
      <c r="F198">
        <v>-35.78</v>
      </c>
      <c r="G198">
        <v>-21.02</v>
      </c>
      <c r="H198" s="46">
        <v>2122504</v>
      </c>
      <c r="I198" s="46">
        <v>3258692</v>
      </c>
      <c r="J198">
        <v>-34.86</v>
      </c>
      <c r="K198">
        <v>0</v>
      </c>
    </row>
    <row r="199" spans="1:11" customFormat="1" hidden="1">
      <c r="A199">
        <v>6148</v>
      </c>
      <c r="B199" t="s">
        <v>1733</v>
      </c>
      <c r="C199" s="46">
        <v>497220</v>
      </c>
      <c r="D199" s="46">
        <v>604293</v>
      </c>
      <c r="E199" s="46">
        <v>531360</v>
      </c>
      <c r="F199">
        <v>-17.71</v>
      </c>
      <c r="G199">
        <v>-6.42</v>
      </c>
      <c r="H199" s="46">
        <v>4141871</v>
      </c>
      <c r="I199" s="46">
        <v>4197791</v>
      </c>
      <c r="J199">
        <v>-1.33</v>
      </c>
      <c r="K199" s="286">
        <v>1</v>
      </c>
    </row>
    <row r="200" spans="1:11" customFormat="1" hidden="1">
      <c r="A200">
        <v>6147</v>
      </c>
      <c r="B200" t="s">
        <v>2021</v>
      </c>
      <c r="C200" s="46">
        <v>1417792</v>
      </c>
      <c r="D200" s="46">
        <v>1401325</v>
      </c>
      <c r="E200" s="46">
        <v>1545561</v>
      </c>
      <c r="F200">
        <v>1.17</v>
      </c>
      <c r="G200">
        <v>-8.26</v>
      </c>
      <c r="H200" s="46">
        <v>14339889</v>
      </c>
      <c r="I200" s="46">
        <v>14728857</v>
      </c>
      <c r="J200">
        <v>-2.64</v>
      </c>
      <c r="K200" s="286">
        <v>0</v>
      </c>
    </row>
    <row r="201" spans="1:11" customFormat="1" hidden="1">
      <c r="A201">
        <v>6146</v>
      </c>
      <c r="B201" t="s">
        <v>460</v>
      </c>
      <c r="C201" s="46">
        <v>260310</v>
      </c>
      <c r="D201" s="46">
        <v>282048</v>
      </c>
      <c r="E201" s="46">
        <v>272058</v>
      </c>
      <c r="F201">
        <v>-7.7</v>
      </c>
      <c r="G201">
        <v>-4.3099999999999996</v>
      </c>
      <c r="H201" s="46">
        <v>2676262</v>
      </c>
      <c r="I201" s="46">
        <v>2431100</v>
      </c>
      <c r="J201">
        <v>10.08</v>
      </c>
      <c r="K201" s="286">
        <v>0</v>
      </c>
    </row>
    <row r="202" spans="1:11" customFormat="1" hidden="1">
      <c r="A202">
        <v>6144</v>
      </c>
      <c r="B202" t="s">
        <v>2135</v>
      </c>
      <c r="C202" s="46">
        <v>62205</v>
      </c>
      <c r="D202" s="46">
        <v>69205</v>
      </c>
      <c r="E202" s="46">
        <v>76527</v>
      </c>
      <c r="F202">
        <v>-10.11</v>
      </c>
      <c r="G202">
        <v>-18.71</v>
      </c>
      <c r="H202" s="46">
        <v>645286</v>
      </c>
      <c r="I202" s="46">
        <v>656099</v>
      </c>
      <c r="J202">
        <v>-1.64</v>
      </c>
      <c r="K202" s="286">
        <v>0</v>
      </c>
    </row>
    <row r="203" spans="1:11" customFormat="1" hidden="1">
      <c r="A203">
        <v>6143</v>
      </c>
      <c r="B203" t="s">
        <v>2053</v>
      </c>
      <c r="C203" s="46">
        <v>635998</v>
      </c>
      <c r="D203" s="46">
        <v>512692</v>
      </c>
      <c r="E203" s="46">
        <v>540340</v>
      </c>
      <c r="F203">
        <v>24.05</v>
      </c>
      <c r="G203">
        <v>17.7</v>
      </c>
      <c r="H203" s="46">
        <v>3801815</v>
      </c>
      <c r="I203" s="46">
        <v>3789259</v>
      </c>
      <c r="J203">
        <v>0.33</v>
      </c>
      <c r="K203">
        <v>1</v>
      </c>
    </row>
    <row r="204" spans="1:11" customFormat="1" hidden="1">
      <c r="A204">
        <v>6140</v>
      </c>
      <c r="B204" t="s">
        <v>2261</v>
      </c>
      <c r="C204" s="46">
        <v>96010</v>
      </c>
      <c r="D204" s="46">
        <v>105721</v>
      </c>
      <c r="E204" s="46">
        <v>77331</v>
      </c>
      <c r="F204">
        <v>-9.18</v>
      </c>
      <c r="G204">
        <v>24.15</v>
      </c>
      <c r="H204" s="46">
        <v>1113562</v>
      </c>
      <c r="I204" s="46">
        <v>1060353</v>
      </c>
      <c r="J204">
        <v>5.01</v>
      </c>
      <c r="K204" s="286">
        <v>0</v>
      </c>
    </row>
    <row r="205" spans="1:11" customFormat="1" hidden="1">
      <c r="A205">
        <v>6138</v>
      </c>
      <c r="B205" t="s">
        <v>2020</v>
      </c>
      <c r="C205" s="46">
        <v>310033</v>
      </c>
      <c r="D205" s="46">
        <v>299673</v>
      </c>
      <c r="E205" s="46">
        <v>276284</v>
      </c>
      <c r="F205">
        <v>3.45</v>
      </c>
      <c r="G205">
        <v>12.21</v>
      </c>
      <c r="H205" s="46">
        <v>2453944</v>
      </c>
      <c r="I205" s="46">
        <v>2996239</v>
      </c>
      <c r="J205">
        <v>-18.09</v>
      </c>
      <c r="K205">
        <v>1</v>
      </c>
    </row>
    <row r="206" spans="1:11" customFormat="1" hidden="1">
      <c r="A206">
        <v>6135</v>
      </c>
      <c r="B206" t="s">
        <v>2252</v>
      </c>
      <c r="C206" s="46">
        <v>2154</v>
      </c>
      <c r="D206" s="46">
        <v>20354</v>
      </c>
      <c r="E206" s="46">
        <v>515618</v>
      </c>
      <c r="F206">
        <v>-89.41</v>
      </c>
      <c r="G206">
        <v>-99.58</v>
      </c>
      <c r="H206" s="46">
        <v>3734991</v>
      </c>
      <c r="I206" s="46">
        <v>4714485</v>
      </c>
      <c r="J206">
        <v>-20.77</v>
      </c>
      <c r="K206" s="286">
        <v>0</v>
      </c>
    </row>
    <row r="207" spans="1:11" customFormat="1" hidden="1">
      <c r="A207">
        <v>6134</v>
      </c>
      <c r="B207" t="s">
        <v>2239</v>
      </c>
      <c r="C207" s="46">
        <v>134110</v>
      </c>
      <c r="D207" s="46">
        <v>150826</v>
      </c>
      <c r="E207" s="46">
        <v>159301</v>
      </c>
      <c r="F207">
        <v>-11.08</v>
      </c>
      <c r="G207">
        <v>-15.81</v>
      </c>
      <c r="H207" s="46">
        <v>1360381</v>
      </c>
      <c r="I207" s="46">
        <v>1607227</v>
      </c>
      <c r="J207">
        <v>-15.35</v>
      </c>
      <c r="K207">
        <v>0</v>
      </c>
    </row>
    <row r="208" spans="1:11" customFormat="1" hidden="1">
      <c r="A208">
        <v>6130</v>
      </c>
      <c r="B208" t="s">
        <v>459</v>
      </c>
      <c r="C208" s="46">
        <v>20602</v>
      </c>
      <c r="D208" s="46">
        <v>21619</v>
      </c>
      <c r="E208" s="46">
        <v>25903</v>
      </c>
      <c r="F208">
        <v>-4.7</v>
      </c>
      <c r="G208">
        <v>-20.46</v>
      </c>
      <c r="H208" s="46">
        <v>205937</v>
      </c>
      <c r="I208" s="46">
        <v>257545</v>
      </c>
      <c r="J208">
        <v>-20.03</v>
      </c>
      <c r="K208" s="286">
        <v>0</v>
      </c>
    </row>
    <row r="209" spans="1:11" customFormat="1" hidden="1">
      <c r="A209">
        <v>6129</v>
      </c>
      <c r="B209" t="s">
        <v>2019</v>
      </c>
      <c r="C209" s="46">
        <v>118522</v>
      </c>
      <c r="D209" s="46">
        <v>116888</v>
      </c>
      <c r="E209" s="46">
        <v>134370</v>
      </c>
      <c r="F209">
        <v>1.39</v>
      </c>
      <c r="G209">
        <v>-11.79</v>
      </c>
      <c r="H209" s="46">
        <v>1089025</v>
      </c>
      <c r="I209" s="46">
        <v>1304130</v>
      </c>
      <c r="J209">
        <v>-16.489999999999998</v>
      </c>
      <c r="K209">
        <v>1</v>
      </c>
    </row>
    <row r="210" spans="1:11" customFormat="1" hidden="1">
      <c r="A210">
        <v>6127</v>
      </c>
      <c r="B210" t="s">
        <v>2079</v>
      </c>
      <c r="C210" s="46">
        <v>82452</v>
      </c>
      <c r="D210" s="46">
        <v>97204</v>
      </c>
      <c r="E210" s="46">
        <v>91823</v>
      </c>
      <c r="F210">
        <v>-15.17</v>
      </c>
      <c r="G210">
        <v>-10.199999999999999</v>
      </c>
      <c r="H210" s="46">
        <v>900065</v>
      </c>
      <c r="I210" s="46">
        <v>866661</v>
      </c>
      <c r="J210">
        <v>3.85</v>
      </c>
      <c r="K210" s="286">
        <v>0</v>
      </c>
    </row>
    <row r="211" spans="1:11" customFormat="1" hidden="1">
      <c r="A211">
        <v>6126</v>
      </c>
      <c r="B211" t="s">
        <v>2078</v>
      </c>
      <c r="C211" s="46">
        <v>229863</v>
      </c>
      <c r="D211" s="46">
        <v>287235</v>
      </c>
      <c r="E211" s="46">
        <v>282600</v>
      </c>
      <c r="F211">
        <v>-19.97</v>
      </c>
      <c r="G211">
        <v>-18.66</v>
      </c>
      <c r="H211" s="46">
        <v>2361846</v>
      </c>
      <c r="I211" s="46">
        <v>3021138</v>
      </c>
      <c r="J211">
        <v>-21.82</v>
      </c>
      <c r="K211">
        <v>0</v>
      </c>
    </row>
    <row r="212" spans="1:11" customFormat="1" hidden="1">
      <c r="A212">
        <v>6125</v>
      </c>
      <c r="B212" t="s">
        <v>458</v>
      </c>
      <c r="C212" s="46">
        <v>912074</v>
      </c>
      <c r="D212" s="46">
        <v>1070121</v>
      </c>
      <c r="E212" s="46">
        <v>824111</v>
      </c>
      <c r="F212">
        <v>-14.76</v>
      </c>
      <c r="G212">
        <v>10.67</v>
      </c>
      <c r="H212" s="46">
        <v>8320830</v>
      </c>
      <c r="I212" s="46">
        <v>8254018</v>
      </c>
      <c r="J212">
        <v>0.8</v>
      </c>
      <c r="K212">
        <v>1</v>
      </c>
    </row>
    <row r="213" spans="1:11" customFormat="1" hidden="1">
      <c r="A213">
        <v>6124</v>
      </c>
      <c r="B213" t="s">
        <v>2077</v>
      </c>
      <c r="C213" s="46">
        <v>182237</v>
      </c>
      <c r="D213" s="46">
        <v>164015</v>
      </c>
      <c r="E213" s="46">
        <v>188627</v>
      </c>
      <c r="F213">
        <v>11.1</v>
      </c>
      <c r="G213">
        <v>-3.38</v>
      </c>
      <c r="H213" s="46">
        <v>1433651</v>
      </c>
      <c r="I213" s="46">
        <v>1641173</v>
      </c>
      <c r="J213">
        <v>-12.64</v>
      </c>
      <c r="K213" s="286">
        <v>1</v>
      </c>
    </row>
    <row r="214" spans="1:11" customFormat="1" hidden="1">
      <c r="A214">
        <v>6123</v>
      </c>
      <c r="B214" t="s">
        <v>2036</v>
      </c>
      <c r="C214" s="46">
        <v>325609</v>
      </c>
      <c r="D214" s="46">
        <v>338396</v>
      </c>
      <c r="E214" s="46">
        <v>375133</v>
      </c>
      <c r="F214" s="276">
        <v>-3.77</v>
      </c>
      <c r="G214">
        <v>-13.2</v>
      </c>
      <c r="H214" s="46">
        <v>3000494</v>
      </c>
      <c r="I214" s="46">
        <v>3389764</v>
      </c>
      <c r="J214">
        <v>-11.48</v>
      </c>
      <c r="K214" s="286">
        <v>1</v>
      </c>
    </row>
    <row r="215" spans="1:11" customFormat="1" hidden="1">
      <c r="A215">
        <v>6122</v>
      </c>
      <c r="B215" t="s">
        <v>2165</v>
      </c>
      <c r="C215" s="46">
        <v>88493</v>
      </c>
      <c r="D215" s="46">
        <v>70810</v>
      </c>
      <c r="E215" s="46">
        <v>79451</v>
      </c>
      <c r="F215">
        <v>24.97</v>
      </c>
      <c r="G215">
        <v>11.38</v>
      </c>
      <c r="H215" s="46">
        <v>847190</v>
      </c>
      <c r="I215" s="46">
        <v>1043232</v>
      </c>
      <c r="J215">
        <v>-18.79</v>
      </c>
      <c r="K215">
        <v>0</v>
      </c>
    </row>
    <row r="216" spans="1:11" customFormat="1" hidden="1">
      <c r="A216">
        <v>6121</v>
      </c>
      <c r="B216" t="s">
        <v>457</v>
      </c>
      <c r="C216" s="46">
        <v>6023894</v>
      </c>
      <c r="D216" s="46">
        <v>5684182</v>
      </c>
      <c r="E216" s="46">
        <v>5957048</v>
      </c>
      <c r="F216">
        <v>5.97</v>
      </c>
      <c r="G216">
        <v>1.1200000000000001</v>
      </c>
      <c r="H216" s="46">
        <v>52823890</v>
      </c>
      <c r="I216" s="46">
        <v>46941262</v>
      </c>
      <c r="J216">
        <v>12.53</v>
      </c>
      <c r="K216" s="286">
        <v>1</v>
      </c>
    </row>
    <row r="217" spans="1:11" customFormat="1" hidden="1">
      <c r="A217">
        <v>6118</v>
      </c>
      <c r="B217" t="s">
        <v>2251</v>
      </c>
      <c r="C217" s="46">
        <v>563504</v>
      </c>
      <c r="D217" s="46">
        <v>559716</v>
      </c>
      <c r="E217" s="46">
        <v>691733</v>
      </c>
      <c r="F217">
        <v>0.67</v>
      </c>
      <c r="G217">
        <v>-18.53</v>
      </c>
      <c r="H217" s="46">
        <v>5986349</v>
      </c>
      <c r="I217" s="46">
        <v>6682598</v>
      </c>
      <c r="J217">
        <v>-10.41</v>
      </c>
      <c r="K217" s="286">
        <v>0</v>
      </c>
    </row>
    <row r="218" spans="1:11" customFormat="1" hidden="1">
      <c r="A218">
        <v>6114</v>
      </c>
      <c r="B218" t="s">
        <v>2238</v>
      </c>
      <c r="C218" s="46">
        <v>151182</v>
      </c>
      <c r="D218" s="46">
        <v>158860</v>
      </c>
      <c r="E218" s="46">
        <v>146267</v>
      </c>
      <c r="F218">
        <v>-4.83</v>
      </c>
      <c r="G218">
        <v>3.36</v>
      </c>
      <c r="H218" s="46">
        <v>1479485</v>
      </c>
      <c r="I218" s="46">
        <v>567195</v>
      </c>
      <c r="J218">
        <v>160.84</v>
      </c>
      <c r="K218" s="286">
        <v>0</v>
      </c>
    </row>
    <row r="219" spans="1:11" customFormat="1" hidden="1">
      <c r="A219">
        <v>6113</v>
      </c>
      <c r="B219" t="s">
        <v>2250</v>
      </c>
      <c r="C219" s="46">
        <v>145993</v>
      </c>
      <c r="D219" s="46">
        <v>123331</v>
      </c>
      <c r="E219" s="46">
        <v>163996</v>
      </c>
      <c r="F219">
        <v>18.37</v>
      </c>
      <c r="G219">
        <v>-10.97</v>
      </c>
      <c r="H219" s="46">
        <v>1394011</v>
      </c>
      <c r="I219" s="46">
        <v>1372936</v>
      </c>
      <c r="J219">
        <v>1.53</v>
      </c>
      <c r="K219">
        <v>0</v>
      </c>
    </row>
    <row r="220" spans="1:11" customFormat="1" hidden="1">
      <c r="A220">
        <v>6111</v>
      </c>
      <c r="B220" t="s">
        <v>2295</v>
      </c>
      <c r="C220" s="46">
        <v>40418</v>
      </c>
      <c r="D220" s="46">
        <v>104988</v>
      </c>
      <c r="E220" s="46">
        <v>37893</v>
      </c>
      <c r="F220">
        <v>-61.5</v>
      </c>
      <c r="G220">
        <v>6.66</v>
      </c>
      <c r="H220" s="46">
        <v>650464</v>
      </c>
      <c r="I220" s="46">
        <v>273360</v>
      </c>
      <c r="J220">
        <v>137.94999999999999</v>
      </c>
      <c r="K220" s="286">
        <v>0</v>
      </c>
    </row>
    <row r="221" spans="1:11" customFormat="1" hidden="1">
      <c r="A221">
        <v>6109</v>
      </c>
      <c r="B221" t="s">
        <v>2052</v>
      </c>
      <c r="C221" s="46">
        <v>153922</v>
      </c>
      <c r="D221" s="46">
        <v>167240</v>
      </c>
      <c r="E221" s="46">
        <v>133829</v>
      </c>
      <c r="F221">
        <v>-7.96</v>
      </c>
      <c r="G221">
        <v>15.01</v>
      </c>
      <c r="H221" s="46">
        <v>1684652</v>
      </c>
      <c r="I221" s="46">
        <v>1891732</v>
      </c>
      <c r="J221">
        <v>-10.94</v>
      </c>
      <c r="K221">
        <v>0</v>
      </c>
    </row>
    <row r="222" spans="1:11" customFormat="1" hidden="1">
      <c r="A222">
        <v>6107</v>
      </c>
      <c r="B222" t="s">
        <v>2237</v>
      </c>
      <c r="C222" s="46">
        <v>528764</v>
      </c>
      <c r="D222" s="46">
        <v>737040</v>
      </c>
      <c r="E222" s="46">
        <v>339178</v>
      </c>
      <c r="F222">
        <v>-28.25</v>
      </c>
      <c r="G222">
        <v>55.89</v>
      </c>
      <c r="H222" s="46">
        <v>5478748</v>
      </c>
      <c r="I222" s="46">
        <v>4993387</v>
      </c>
      <c r="J222">
        <v>9.7200000000000006</v>
      </c>
      <c r="K222">
        <v>0</v>
      </c>
    </row>
    <row r="223" spans="1:11" customFormat="1" hidden="1">
      <c r="A223">
        <v>6105</v>
      </c>
      <c r="B223" t="s">
        <v>2194</v>
      </c>
      <c r="C223" s="46">
        <v>467099</v>
      </c>
      <c r="D223" s="46">
        <v>516885</v>
      </c>
      <c r="E223" s="46">
        <v>548159</v>
      </c>
      <c r="F223">
        <v>-9.6300000000000008</v>
      </c>
      <c r="G223">
        <v>-14.78</v>
      </c>
      <c r="H223" s="46">
        <v>4686247</v>
      </c>
      <c r="I223" s="46">
        <v>4803813</v>
      </c>
      <c r="J223">
        <v>-2.44</v>
      </c>
      <c r="K223">
        <v>0</v>
      </c>
    </row>
    <row r="224" spans="1:11" customFormat="1" hidden="1">
      <c r="A224">
        <v>6104</v>
      </c>
      <c r="B224" t="s">
        <v>2018</v>
      </c>
      <c r="C224" s="46">
        <v>150804</v>
      </c>
      <c r="D224" s="46">
        <v>151949</v>
      </c>
      <c r="E224" s="46">
        <v>222834</v>
      </c>
      <c r="F224">
        <v>-0.75</v>
      </c>
      <c r="G224">
        <v>-32.32</v>
      </c>
      <c r="H224" s="46">
        <v>1564552</v>
      </c>
      <c r="I224" s="46">
        <v>1896431</v>
      </c>
      <c r="J224">
        <v>-17.5</v>
      </c>
      <c r="K224">
        <v>0</v>
      </c>
    </row>
    <row r="225" spans="1:11" customFormat="1">
      <c r="A225" s="62" t="str">
        <f>HYPERLINK("http://tw.stock.yahoo.com/q/ta?s=3205","3205")</f>
        <v>3205</v>
      </c>
      <c r="B225" s="62" t="str">
        <f>HYPERLINK("http://tw.stock.yahoo.com/d/s/earning_3205.html","佰研")</f>
        <v>佰研</v>
      </c>
      <c r="C225" s="46">
        <v>158094</v>
      </c>
      <c r="D225" s="46">
        <v>106359</v>
      </c>
      <c r="E225" s="46">
        <v>50634</v>
      </c>
      <c r="F225">
        <v>48.64</v>
      </c>
      <c r="G225">
        <v>212.22</v>
      </c>
      <c r="H225" s="46">
        <v>902115</v>
      </c>
      <c r="I225" s="46">
        <v>338530</v>
      </c>
      <c r="J225">
        <v>166.48</v>
      </c>
      <c r="K225">
        <v>1</v>
      </c>
    </row>
    <row r="226" spans="1:11" customFormat="1" hidden="1">
      <c r="A226">
        <v>6101</v>
      </c>
      <c r="B226" t="s">
        <v>1711</v>
      </c>
      <c r="C226" s="46">
        <v>41966</v>
      </c>
      <c r="D226" s="46">
        <v>29239</v>
      </c>
      <c r="E226" s="46">
        <v>106259</v>
      </c>
      <c r="F226">
        <v>43.52</v>
      </c>
      <c r="G226">
        <v>-60.5</v>
      </c>
      <c r="H226" s="46">
        <v>416016</v>
      </c>
      <c r="I226" s="46">
        <v>989481</v>
      </c>
      <c r="J226">
        <v>-57.95</v>
      </c>
      <c r="K226">
        <v>0</v>
      </c>
    </row>
    <row r="227" spans="1:11" customFormat="1" hidden="1">
      <c r="A227">
        <v>6024</v>
      </c>
      <c r="B227" t="s">
        <v>456</v>
      </c>
      <c r="C227" s="46">
        <v>129147</v>
      </c>
      <c r="D227" s="46">
        <v>145655</v>
      </c>
      <c r="E227" s="46">
        <v>136530</v>
      </c>
      <c r="F227">
        <v>-11.33</v>
      </c>
      <c r="G227">
        <v>-5.4</v>
      </c>
      <c r="H227" s="46">
        <v>1278306</v>
      </c>
      <c r="I227" s="46">
        <v>1040540</v>
      </c>
      <c r="J227">
        <v>22.85</v>
      </c>
      <c r="K227" s="286">
        <v>0</v>
      </c>
    </row>
    <row r="228" spans="1:11" customFormat="1" hidden="1">
      <c r="A228">
        <v>6023</v>
      </c>
      <c r="B228" t="s">
        <v>2123</v>
      </c>
      <c r="C228" s="46">
        <v>227077</v>
      </c>
      <c r="D228" s="46">
        <v>252328</v>
      </c>
      <c r="E228" s="46">
        <v>229894</v>
      </c>
      <c r="F228">
        <v>-10</v>
      </c>
      <c r="G228">
        <v>-1.22</v>
      </c>
      <c r="H228" s="46">
        <v>2370735</v>
      </c>
      <c r="I228" s="46">
        <v>1832397</v>
      </c>
      <c r="J228">
        <v>29.37</v>
      </c>
      <c r="K228">
        <v>0</v>
      </c>
    </row>
    <row r="229" spans="1:11" customFormat="1" hidden="1">
      <c r="A229">
        <v>6022</v>
      </c>
      <c r="B229" t="s">
        <v>2152</v>
      </c>
      <c r="C229" s="46">
        <v>109310</v>
      </c>
      <c r="D229" s="46">
        <v>43625</v>
      </c>
      <c r="E229" s="46">
        <v>16228</v>
      </c>
      <c r="F229">
        <v>150.56</v>
      </c>
      <c r="G229">
        <v>573.58000000000004</v>
      </c>
      <c r="H229" s="46">
        <v>664454</v>
      </c>
      <c r="I229" s="46">
        <v>819038</v>
      </c>
      <c r="J229">
        <v>-18.87</v>
      </c>
      <c r="K229">
        <v>1</v>
      </c>
    </row>
    <row r="230" spans="1:11" customFormat="1" hidden="1">
      <c r="A230">
        <v>6021</v>
      </c>
      <c r="B230" t="s">
        <v>455</v>
      </c>
      <c r="C230" s="46">
        <v>47705</v>
      </c>
      <c r="D230" s="46">
        <v>46678</v>
      </c>
      <c r="E230" s="46">
        <v>-27422</v>
      </c>
      <c r="F230">
        <v>2.2000000000000002</v>
      </c>
      <c r="G230">
        <v>273.95999999999998</v>
      </c>
      <c r="H230" s="46">
        <v>345599</v>
      </c>
      <c r="I230" s="46">
        <v>423207</v>
      </c>
      <c r="J230">
        <v>-18.329999999999998</v>
      </c>
      <c r="K230" s="286">
        <v>1</v>
      </c>
    </row>
    <row r="231" spans="1:11" customFormat="1" hidden="1">
      <c r="A231">
        <v>6020</v>
      </c>
      <c r="B231" t="s">
        <v>454</v>
      </c>
      <c r="C231" s="46">
        <v>22955</v>
      </c>
      <c r="D231" s="46">
        <v>31520</v>
      </c>
      <c r="E231" s="46">
        <v>-65128</v>
      </c>
      <c r="F231">
        <v>-27.17</v>
      </c>
      <c r="G231">
        <v>135.24</v>
      </c>
      <c r="H231" s="46">
        <v>49942</v>
      </c>
      <c r="I231" s="46">
        <v>242281</v>
      </c>
      <c r="J231">
        <v>-79.38</v>
      </c>
      <c r="K231">
        <v>1</v>
      </c>
    </row>
    <row r="232" spans="1:11" customFormat="1" hidden="1">
      <c r="A232">
        <v>6016</v>
      </c>
      <c r="B232" t="s">
        <v>2281</v>
      </c>
      <c r="C232" s="46">
        <v>228323</v>
      </c>
      <c r="D232" s="46">
        <v>259816</v>
      </c>
      <c r="E232" s="46">
        <v>85632</v>
      </c>
      <c r="F232">
        <v>-12.12</v>
      </c>
      <c r="G232">
        <v>166.63</v>
      </c>
      <c r="H232" s="46">
        <v>1988553</v>
      </c>
      <c r="I232" s="46">
        <v>1912749</v>
      </c>
      <c r="J232">
        <v>3.96</v>
      </c>
      <c r="K232" s="286">
        <v>1</v>
      </c>
    </row>
    <row r="233" spans="1:11" customFormat="1" hidden="1">
      <c r="A233">
        <v>6015</v>
      </c>
      <c r="B233" t="s">
        <v>2122</v>
      </c>
      <c r="C233" s="46">
        <v>68822</v>
      </c>
      <c r="D233" s="46">
        <v>109985</v>
      </c>
      <c r="E233" s="46">
        <v>4203</v>
      </c>
      <c r="F233">
        <v>-37.42</v>
      </c>
      <c r="G233" s="276">
        <v>1537.44</v>
      </c>
      <c r="H233" s="46">
        <v>374685</v>
      </c>
      <c r="I233" s="46">
        <v>851925</v>
      </c>
      <c r="J233">
        <v>-56.01</v>
      </c>
      <c r="K233">
        <v>1</v>
      </c>
    </row>
    <row r="234" spans="1:11" customFormat="1" hidden="1">
      <c r="A234">
        <v>5905</v>
      </c>
      <c r="B234" t="s">
        <v>1706</v>
      </c>
      <c r="C234" s="46">
        <v>131071</v>
      </c>
      <c r="D234" s="46">
        <v>120320</v>
      </c>
      <c r="E234" s="46">
        <v>151534</v>
      </c>
      <c r="F234">
        <v>8.93</v>
      </c>
      <c r="G234">
        <v>-13.5</v>
      </c>
      <c r="H234" s="46">
        <v>1351566</v>
      </c>
      <c r="I234" s="46">
        <v>1453376</v>
      </c>
      <c r="J234">
        <v>-7</v>
      </c>
      <c r="K234" s="286">
        <v>0</v>
      </c>
    </row>
    <row r="235" spans="1:11" customFormat="1" hidden="1">
      <c r="A235">
        <v>5904</v>
      </c>
      <c r="B235" t="s">
        <v>453</v>
      </c>
      <c r="C235" s="46">
        <v>922398</v>
      </c>
      <c r="D235" s="46">
        <v>964314</v>
      </c>
      <c r="E235" s="46">
        <v>801992</v>
      </c>
      <c r="F235">
        <v>-4.34</v>
      </c>
      <c r="G235">
        <v>15.01</v>
      </c>
      <c r="H235" s="46">
        <v>8761897</v>
      </c>
      <c r="I235" s="46">
        <v>7397705</v>
      </c>
      <c r="J235">
        <v>18.440000000000001</v>
      </c>
      <c r="K235" s="286">
        <v>1</v>
      </c>
    </row>
    <row r="236" spans="1:11" customFormat="1" hidden="1">
      <c r="A236">
        <v>5903</v>
      </c>
      <c r="B236" t="s">
        <v>2126</v>
      </c>
      <c r="C236" s="46">
        <v>4982054</v>
      </c>
      <c r="D236" s="46">
        <v>4889420</v>
      </c>
      <c r="E236" s="46">
        <v>4700599</v>
      </c>
      <c r="F236">
        <v>1.89</v>
      </c>
      <c r="G236">
        <v>5.98</v>
      </c>
      <c r="H236" s="46">
        <v>48407710</v>
      </c>
      <c r="I236" s="46">
        <v>47143565</v>
      </c>
      <c r="J236">
        <v>2.68</v>
      </c>
      <c r="K236">
        <v>0</v>
      </c>
    </row>
    <row r="237" spans="1:11" customFormat="1" hidden="1">
      <c r="A237">
        <v>5902</v>
      </c>
      <c r="B237" t="s">
        <v>452</v>
      </c>
      <c r="C237" s="46">
        <v>148923</v>
      </c>
      <c r="D237" s="46">
        <v>164571</v>
      </c>
      <c r="E237" s="46">
        <v>158806</v>
      </c>
      <c r="F237">
        <v>-9.5</v>
      </c>
      <c r="G237">
        <v>-6.22</v>
      </c>
      <c r="H237" s="46">
        <v>1654211</v>
      </c>
      <c r="I237" s="46">
        <v>1719101</v>
      </c>
      <c r="J237">
        <v>-3.77</v>
      </c>
      <c r="K237" s="286">
        <v>0</v>
      </c>
    </row>
    <row r="238" spans="1:11" customFormat="1" hidden="1">
      <c r="A238" s="262">
        <v>5878</v>
      </c>
      <c r="B238" s="262" t="s">
        <v>451</v>
      </c>
      <c r="C238" s="284">
        <v>55279</v>
      </c>
      <c r="D238" s="284">
        <v>60518</v>
      </c>
      <c r="E238" s="284">
        <v>56324</v>
      </c>
      <c r="F238" s="27">
        <v>-8.65</v>
      </c>
      <c r="G238" s="27">
        <v>-1.85</v>
      </c>
      <c r="H238" s="284">
        <v>495801</v>
      </c>
      <c r="I238" s="284">
        <v>438140</v>
      </c>
      <c r="J238" s="27">
        <v>13.16</v>
      </c>
      <c r="K238" s="287">
        <v>1</v>
      </c>
    </row>
    <row r="239" spans="1:11" customFormat="1" hidden="1">
      <c r="A239">
        <v>5820</v>
      </c>
      <c r="B239" t="s">
        <v>2121</v>
      </c>
      <c r="C239" s="46">
        <v>646329</v>
      </c>
      <c r="D239" s="46">
        <v>681354</v>
      </c>
      <c r="E239" s="46">
        <v>586205</v>
      </c>
      <c r="F239">
        <v>-5.14</v>
      </c>
      <c r="G239">
        <v>10.25</v>
      </c>
      <c r="H239" s="46">
        <v>6313354</v>
      </c>
      <c r="I239" s="46">
        <v>6629706</v>
      </c>
      <c r="J239">
        <v>-4.7699999999999996</v>
      </c>
      <c r="K239">
        <v>0</v>
      </c>
    </row>
    <row r="240" spans="1:11" customFormat="1" hidden="1">
      <c r="A240">
        <v>5704</v>
      </c>
      <c r="B240" t="s">
        <v>2120</v>
      </c>
      <c r="C240" s="46">
        <v>27781</v>
      </c>
      <c r="D240" s="46">
        <v>22701</v>
      </c>
      <c r="E240" s="46">
        <v>30738</v>
      </c>
      <c r="F240">
        <v>22.37</v>
      </c>
      <c r="G240">
        <v>-9.6199999999999992</v>
      </c>
      <c r="H240" s="46">
        <v>271524</v>
      </c>
      <c r="I240" s="46">
        <v>291698</v>
      </c>
      <c r="J240">
        <v>-6.91</v>
      </c>
      <c r="K240" s="286">
        <v>0</v>
      </c>
    </row>
    <row r="241" spans="1:11" customFormat="1" hidden="1">
      <c r="A241">
        <v>5703</v>
      </c>
      <c r="B241" t="s">
        <v>2151</v>
      </c>
      <c r="C241" s="46">
        <v>91017</v>
      </c>
      <c r="D241" s="46">
        <v>79144</v>
      </c>
      <c r="E241" s="46">
        <v>87373</v>
      </c>
      <c r="F241">
        <v>15</v>
      </c>
      <c r="G241">
        <v>4.17</v>
      </c>
      <c r="H241" s="46">
        <v>840750</v>
      </c>
      <c r="I241" s="46">
        <v>843353</v>
      </c>
      <c r="J241">
        <v>-0.3</v>
      </c>
      <c r="K241">
        <v>1</v>
      </c>
    </row>
    <row r="242" spans="1:11" customFormat="1" hidden="1">
      <c r="A242">
        <v>5701</v>
      </c>
      <c r="B242" t="s">
        <v>1701</v>
      </c>
      <c r="C242" s="46">
        <v>132287</v>
      </c>
      <c r="D242" s="46">
        <v>152884</v>
      </c>
      <c r="E242" s="46">
        <v>126280</v>
      </c>
      <c r="F242">
        <v>-13.47</v>
      </c>
      <c r="G242">
        <v>4.75</v>
      </c>
      <c r="H242" s="46">
        <v>1315387</v>
      </c>
      <c r="I242" s="46">
        <v>1343872</v>
      </c>
      <c r="J242">
        <v>-2.11</v>
      </c>
      <c r="K242" s="286">
        <v>0</v>
      </c>
    </row>
    <row r="243" spans="1:11" customFormat="1" hidden="1">
      <c r="A243">
        <v>5609</v>
      </c>
      <c r="B243" t="s">
        <v>450</v>
      </c>
      <c r="C243" s="46">
        <v>1307650</v>
      </c>
      <c r="D243" s="46">
        <v>1263306</v>
      </c>
      <c r="E243" s="46">
        <v>1375070</v>
      </c>
      <c r="F243">
        <v>3.51</v>
      </c>
      <c r="G243">
        <v>-4.9000000000000004</v>
      </c>
      <c r="H243" s="46">
        <v>12210081</v>
      </c>
      <c r="I243" s="46">
        <v>12971818</v>
      </c>
      <c r="J243">
        <v>-5.87</v>
      </c>
      <c r="K243">
        <v>1</v>
      </c>
    </row>
    <row r="244" spans="1:11" customFormat="1" hidden="1">
      <c r="A244">
        <v>5604</v>
      </c>
      <c r="B244" t="s">
        <v>2117</v>
      </c>
      <c r="C244" s="46">
        <v>125189</v>
      </c>
      <c r="D244" s="46">
        <v>115380</v>
      </c>
      <c r="E244" s="46">
        <v>136417</v>
      </c>
      <c r="F244">
        <v>8.5</v>
      </c>
      <c r="G244">
        <v>-8.23</v>
      </c>
      <c r="H244" s="46">
        <v>1198766</v>
      </c>
      <c r="I244" s="46">
        <v>1281408</v>
      </c>
      <c r="J244">
        <v>-6.44</v>
      </c>
      <c r="K244" s="286">
        <v>0</v>
      </c>
    </row>
    <row r="245" spans="1:11" customFormat="1" hidden="1">
      <c r="A245">
        <v>5603</v>
      </c>
      <c r="B245" t="s">
        <v>449</v>
      </c>
      <c r="C245" s="46">
        <v>184540</v>
      </c>
      <c r="D245" s="46">
        <v>151998</v>
      </c>
      <c r="E245" s="46">
        <v>209565</v>
      </c>
      <c r="F245">
        <v>21.4</v>
      </c>
      <c r="G245">
        <v>-11.94</v>
      </c>
      <c r="H245" s="46">
        <v>1695931</v>
      </c>
      <c r="I245" s="46">
        <v>2082070</v>
      </c>
      <c r="J245">
        <v>-18.54</v>
      </c>
      <c r="K245">
        <v>1</v>
      </c>
    </row>
    <row r="246" spans="1:11" customFormat="1" hidden="1">
      <c r="A246">
        <v>5601</v>
      </c>
      <c r="B246" t="s">
        <v>2116</v>
      </c>
      <c r="C246" s="46">
        <v>6316</v>
      </c>
      <c r="D246" s="46">
        <v>6294</v>
      </c>
      <c r="E246" s="46">
        <v>6032</v>
      </c>
      <c r="F246">
        <v>0.34</v>
      </c>
      <c r="G246">
        <v>4.7</v>
      </c>
      <c r="H246" s="46">
        <v>62610</v>
      </c>
      <c r="I246" s="46">
        <v>56928</v>
      </c>
      <c r="J246">
        <v>9.98</v>
      </c>
      <c r="K246" s="286">
        <v>0</v>
      </c>
    </row>
    <row r="247" spans="1:11" customFormat="1" hidden="1">
      <c r="A247">
        <v>5536</v>
      </c>
      <c r="B247" t="s">
        <v>448</v>
      </c>
      <c r="C247" s="46">
        <v>957940</v>
      </c>
      <c r="D247" s="46">
        <v>900729</v>
      </c>
      <c r="E247" s="46">
        <v>691907</v>
      </c>
      <c r="F247">
        <v>6.35</v>
      </c>
      <c r="G247">
        <v>38.44</v>
      </c>
      <c r="H247" s="46">
        <v>6818938</v>
      </c>
      <c r="I247" s="46">
        <v>6150141</v>
      </c>
      <c r="J247">
        <v>10.87</v>
      </c>
      <c r="K247" s="286">
        <v>1</v>
      </c>
    </row>
    <row r="248" spans="1:11" customFormat="1" hidden="1">
      <c r="A248">
        <v>5530</v>
      </c>
      <c r="B248" t="s">
        <v>1698</v>
      </c>
      <c r="C248" s="46">
        <v>327893</v>
      </c>
      <c r="D248" s="46">
        <v>292919</v>
      </c>
      <c r="E248" s="46">
        <v>697996</v>
      </c>
      <c r="F248">
        <v>11.93</v>
      </c>
      <c r="G248">
        <v>-53.02</v>
      </c>
      <c r="H248" s="46">
        <v>3057597</v>
      </c>
      <c r="I248" s="46">
        <v>4459245</v>
      </c>
      <c r="J248">
        <v>-31.43</v>
      </c>
      <c r="K248" s="286">
        <v>1</v>
      </c>
    </row>
    <row r="249" spans="1:11" customFormat="1" hidden="1">
      <c r="A249">
        <v>5523</v>
      </c>
      <c r="B249" t="s">
        <v>447</v>
      </c>
      <c r="C249" s="46">
        <v>299</v>
      </c>
      <c r="D249" s="46">
        <v>299</v>
      </c>
      <c r="E249" s="46">
        <v>1845</v>
      </c>
      <c r="F249">
        <v>0</v>
      </c>
      <c r="G249">
        <v>-83.79</v>
      </c>
      <c r="H249" s="46">
        <v>2618</v>
      </c>
      <c r="I249" s="46">
        <v>60317</v>
      </c>
      <c r="J249">
        <v>-95.65</v>
      </c>
      <c r="K249" s="286">
        <v>1</v>
      </c>
    </row>
    <row r="250" spans="1:11" customFormat="1" hidden="1">
      <c r="A250">
        <v>5520</v>
      </c>
      <c r="B250" t="s">
        <v>2277</v>
      </c>
      <c r="C250" s="46">
        <v>193111</v>
      </c>
      <c r="D250" s="46">
        <v>178351</v>
      </c>
      <c r="E250" s="46">
        <v>217207</v>
      </c>
      <c r="F250">
        <v>8.27</v>
      </c>
      <c r="G250">
        <v>-11.09</v>
      </c>
      <c r="H250" s="46">
        <v>1933476</v>
      </c>
      <c r="I250" s="46">
        <v>2015105</v>
      </c>
      <c r="J250">
        <v>-4.05</v>
      </c>
      <c r="K250" s="286">
        <v>0</v>
      </c>
    </row>
    <row r="251" spans="1:11" customFormat="1" hidden="1">
      <c r="A251">
        <v>5516</v>
      </c>
      <c r="B251" t="s">
        <v>2114</v>
      </c>
      <c r="C251" s="46">
        <v>40999</v>
      </c>
      <c r="D251" s="46">
        <v>88804</v>
      </c>
      <c r="E251" s="46">
        <v>29217</v>
      </c>
      <c r="F251">
        <v>-53.83</v>
      </c>
      <c r="G251">
        <v>40.32</v>
      </c>
      <c r="H251" s="46">
        <v>458594</v>
      </c>
      <c r="I251" s="46">
        <v>459729</v>
      </c>
      <c r="J251">
        <v>-0.24</v>
      </c>
      <c r="K251">
        <v>0</v>
      </c>
    </row>
    <row r="252" spans="1:11" customFormat="1" hidden="1">
      <c r="A252">
        <v>5514</v>
      </c>
      <c r="B252" t="s">
        <v>2113</v>
      </c>
      <c r="C252" s="46">
        <v>384</v>
      </c>
      <c r="D252" s="46">
        <v>384</v>
      </c>
      <c r="E252" s="46">
        <v>30930</v>
      </c>
      <c r="F252">
        <v>0</v>
      </c>
      <c r="G252">
        <v>-98.75</v>
      </c>
      <c r="H252" s="46">
        <v>3789</v>
      </c>
      <c r="I252" s="46">
        <v>1491663</v>
      </c>
      <c r="J252">
        <v>-99.74</v>
      </c>
      <c r="K252" s="286">
        <v>0</v>
      </c>
    </row>
    <row r="253" spans="1:11" customFormat="1" hidden="1">
      <c r="A253">
        <v>5512</v>
      </c>
      <c r="B253" t="s">
        <v>446</v>
      </c>
      <c r="C253" s="46">
        <v>144057</v>
      </c>
      <c r="D253" s="46">
        <v>149087</v>
      </c>
      <c r="E253" s="46">
        <v>341272</v>
      </c>
      <c r="F253">
        <v>-3.37</v>
      </c>
      <c r="G253">
        <v>-57.78</v>
      </c>
      <c r="H253" s="46">
        <v>1387089</v>
      </c>
      <c r="I253" s="46">
        <v>5834748</v>
      </c>
      <c r="J253">
        <v>-76.22</v>
      </c>
      <c r="K253" s="286">
        <v>0</v>
      </c>
    </row>
    <row r="254" spans="1:11" customFormat="1" hidden="1">
      <c r="A254">
        <v>5511</v>
      </c>
      <c r="B254" t="s">
        <v>2150</v>
      </c>
      <c r="C254" s="46">
        <v>295278</v>
      </c>
      <c r="D254" s="46">
        <v>268321</v>
      </c>
      <c r="E254" s="46">
        <v>413458</v>
      </c>
      <c r="F254">
        <v>10.039999999999999</v>
      </c>
      <c r="G254">
        <v>-28.58</v>
      </c>
      <c r="H254" s="46">
        <v>3051317</v>
      </c>
      <c r="I254" s="46">
        <v>3731127</v>
      </c>
      <c r="J254" s="276">
        <v>-18.21</v>
      </c>
      <c r="K254" s="286">
        <v>0</v>
      </c>
    </row>
    <row r="255" spans="1:11" customFormat="1" hidden="1">
      <c r="A255">
        <v>5508</v>
      </c>
      <c r="B255" t="s">
        <v>2112</v>
      </c>
      <c r="C255" s="46">
        <v>92497</v>
      </c>
      <c r="D255" s="46">
        <v>175594</v>
      </c>
      <c r="E255" s="46">
        <v>125350</v>
      </c>
      <c r="F255">
        <v>-47.32</v>
      </c>
      <c r="G255">
        <v>-26.2</v>
      </c>
      <c r="H255" s="46">
        <v>1513113</v>
      </c>
      <c r="I255" s="46">
        <v>3588769</v>
      </c>
      <c r="J255">
        <v>-57.83</v>
      </c>
      <c r="K255">
        <v>0</v>
      </c>
    </row>
    <row r="256" spans="1:11" customFormat="1" hidden="1">
      <c r="A256">
        <v>5506</v>
      </c>
      <c r="B256" t="s">
        <v>445</v>
      </c>
      <c r="C256" s="46">
        <v>78541</v>
      </c>
      <c r="D256" s="46">
        <v>217080</v>
      </c>
      <c r="E256" s="46">
        <v>264998</v>
      </c>
      <c r="F256">
        <v>-63.81</v>
      </c>
      <c r="G256">
        <v>-70.36</v>
      </c>
      <c r="H256" s="46">
        <v>2935566</v>
      </c>
      <c r="I256" s="46">
        <v>3090965</v>
      </c>
      <c r="J256">
        <v>-5.0199999999999996</v>
      </c>
      <c r="K256" s="286">
        <v>0</v>
      </c>
    </row>
    <row r="257" spans="1:11" customFormat="1" hidden="1">
      <c r="A257">
        <v>5498</v>
      </c>
      <c r="B257" t="s">
        <v>2146</v>
      </c>
      <c r="C257" s="46">
        <v>65140</v>
      </c>
      <c r="D257" s="46">
        <v>74789</v>
      </c>
      <c r="E257" s="46">
        <v>99094</v>
      </c>
      <c r="F257">
        <v>-12.9</v>
      </c>
      <c r="G257">
        <v>-34.26</v>
      </c>
      <c r="H257" s="46">
        <v>739066</v>
      </c>
      <c r="I257" s="46">
        <v>1108603</v>
      </c>
      <c r="J257">
        <v>-33.33</v>
      </c>
      <c r="K257" s="286">
        <v>0</v>
      </c>
    </row>
    <row r="258" spans="1:11" customFormat="1" hidden="1">
      <c r="A258">
        <v>5493</v>
      </c>
      <c r="B258" t="s">
        <v>2107</v>
      </c>
      <c r="C258" s="46">
        <v>148079</v>
      </c>
      <c r="D258" s="46">
        <v>151564</v>
      </c>
      <c r="E258" s="46">
        <v>147002</v>
      </c>
      <c r="F258">
        <v>-2.29</v>
      </c>
      <c r="G258">
        <v>0.73</v>
      </c>
      <c r="H258" s="46">
        <v>1918069</v>
      </c>
      <c r="I258" s="46">
        <v>1495281</v>
      </c>
      <c r="J258">
        <v>28.27</v>
      </c>
      <c r="K258" s="286">
        <v>0</v>
      </c>
    </row>
    <row r="259" spans="1:11" customFormat="1" hidden="1">
      <c r="A259">
        <v>5491</v>
      </c>
      <c r="B259" t="s">
        <v>2076</v>
      </c>
      <c r="C259" s="46">
        <v>665002</v>
      </c>
      <c r="D259" s="46">
        <v>729422</v>
      </c>
      <c r="E259" s="46">
        <v>779286</v>
      </c>
      <c r="F259">
        <v>-8.83</v>
      </c>
      <c r="G259">
        <v>-14.66</v>
      </c>
      <c r="H259" s="46">
        <v>6682785</v>
      </c>
      <c r="I259" s="46">
        <v>7721619</v>
      </c>
      <c r="J259">
        <v>-13.45</v>
      </c>
      <c r="K259" s="286">
        <v>0</v>
      </c>
    </row>
    <row r="260" spans="1:11" customFormat="1" hidden="1">
      <c r="A260">
        <v>5490</v>
      </c>
      <c r="B260" t="s">
        <v>444</v>
      </c>
      <c r="C260" s="46">
        <v>249276</v>
      </c>
      <c r="D260" s="46">
        <v>196477</v>
      </c>
      <c r="E260" s="46">
        <v>271268</v>
      </c>
      <c r="F260">
        <v>26.87</v>
      </c>
      <c r="G260">
        <v>-8.1</v>
      </c>
      <c r="H260" s="46">
        <v>2559928</v>
      </c>
      <c r="I260" s="46">
        <v>1442508</v>
      </c>
      <c r="J260">
        <v>77.459999999999994</v>
      </c>
      <c r="K260">
        <v>0</v>
      </c>
    </row>
    <row r="261" spans="1:11" customFormat="1" hidden="1">
      <c r="A261">
        <v>5489</v>
      </c>
      <c r="B261" t="s">
        <v>2106</v>
      </c>
      <c r="C261" s="46">
        <v>210058</v>
      </c>
      <c r="D261" s="46">
        <v>212666</v>
      </c>
      <c r="E261" s="46">
        <v>263501</v>
      </c>
      <c r="F261">
        <v>-1.22</v>
      </c>
      <c r="G261">
        <v>-20.28</v>
      </c>
      <c r="H261" s="46">
        <v>1902049</v>
      </c>
      <c r="I261" s="46">
        <v>2215493</v>
      </c>
      <c r="J261">
        <v>-14.14</v>
      </c>
      <c r="K261">
        <v>1</v>
      </c>
    </row>
    <row r="262" spans="1:11" customFormat="1" hidden="1">
      <c r="A262">
        <v>5488</v>
      </c>
      <c r="B262" t="s">
        <v>2075</v>
      </c>
      <c r="C262" s="46">
        <v>142750</v>
      </c>
      <c r="D262" s="46">
        <v>150522</v>
      </c>
      <c r="E262" s="46">
        <v>172301</v>
      </c>
      <c r="F262">
        <v>-5.16</v>
      </c>
      <c r="G262">
        <v>-17.149999999999999</v>
      </c>
      <c r="H262" s="46">
        <v>1630827</v>
      </c>
      <c r="I262" s="46">
        <v>1725492</v>
      </c>
      <c r="J262">
        <v>-5.48</v>
      </c>
      <c r="K262">
        <v>0</v>
      </c>
    </row>
    <row r="263" spans="1:11" customFormat="1" hidden="1">
      <c r="A263">
        <v>5487</v>
      </c>
      <c r="B263" t="s">
        <v>443</v>
      </c>
      <c r="C263" s="46">
        <v>27999</v>
      </c>
      <c r="D263" s="46">
        <v>26431</v>
      </c>
      <c r="E263" s="46">
        <v>29498</v>
      </c>
      <c r="F263">
        <v>5.93</v>
      </c>
      <c r="G263">
        <v>-5.08</v>
      </c>
      <c r="H263" s="46">
        <v>258028</v>
      </c>
      <c r="I263" s="46">
        <v>261767</v>
      </c>
      <c r="J263">
        <v>-1.42</v>
      </c>
      <c r="K263">
        <v>1</v>
      </c>
    </row>
    <row r="264" spans="1:11" customFormat="1" hidden="1">
      <c r="A264">
        <v>5483</v>
      </c>
      <c r="B264" t="s">
        <v>2017</v>
      </c>
      <c r="C264" s="46">
        <v>2335770</v>
      </c>
      <c r="D264" s="46">
        <v>2474008</v>
      </c>
      <c r="E264" s="46">
        <v>2451203</v>
      </c>
      <c r="F264">
        <v>-5.58</v>
      </c>
      <c r="G264">
        <v>-4.7</v>
      </c>
      <c r="H264" s="46">
        <v>23606212</v>
      </c>
      <c r="I264" s="46">
        <v>23013481</v>
      </c>
      <c r="J264">
        <v>2.57</v>
      </c>
      <c r="K264" s="286">
        <v>0</v>
      </c>
    </row>
    <row r="265" spans="1:11" customFormat="1" hidden="1">
      <c r="A265">
        <v>5481</v>
      </c>
      <c r="B265" t="s">
        <v>2074</v>
      </c>
      <c r="C265" s="46">
        <v>136</v>
      </c>
      <c r="D265" s="46">
        <v>383</v>
      </c>
      <c r="E265" s="46">
        <v>17502</v>
      </c>
      <c r="F265">
        <v>-64.489999999999995</v>
      </c>
      <c r="G265">
        <v>-99.22</v>
      </c>
      <c r="H265" s="46">
        <v>75127</v>
      </c>
      <c r="I265" s="46">
        <v>210710</v>
      </c>
      <c r="J265">
        <v>-64.34</v>
      </c>
      <c r="K265">
        <v>0</v>
      </c>
    </row>
    <row r="266" spans="1:11" customFormat="1" hidden="1">
      <c r="A266">
        <v>5480</v>
      </c>
      <c r="B266" t="s">
        <v>2236</v>
      </c>
      <c r="C266" s="46">
        <v>567179</v>
      </c>
      <c r="D266" s="46">
        <v>572235</v>
      </c>
      <c r="E266" s="46">
        <v>563233</v>
      </c>
      <c r="F266">
        <v>-0.88</v>
      </c>
      <c r="G266">
        <v>0.7</v>
      </c>
      <c r="H266" s="46">
        <v>5066631</v>
      </c>
      <c r="I266" s="46">
        <v>5477236</v>
      </c>
      <c r="J266">
        <v>-7.49</v>
      </c>
      <c r="K266">
        <v>1</v>
      </c>
    </row>
    <row r="267" spans="1:11" customFormat="1" hidden="1">
      <c r="A267">
        <v>5478</v>
      </c>
      <c r="B267" t="s">
        <v>442</v>
      </c>
      <c r="C267" s="46">
        <v>1232702</v>
      </c>
      <c r="D267" s="46">
        <v>1132739</v>
      </c>
      <c r="E267" s="46">
        <v>1107199</v>
      </c>
      <c r="F267">
        <v>8.82</v>
      </c>
      <c r="G267">
        <v>11.33</v>
      </c>
      <c r="H267" s="46">
        <v>12458411</v>
      </c>
      <c r="I267" s="46">
        <v>12511465</v>
      </c>
      <c r="J267">
        <v>-0.42</v>
      </c>
      <c r="K267" s="286">
        <v>0</v>
      </c>
    </row>
    <row r="268" spans="1:11" customFormat="1" hidden="1">
      <c r="A268">
        <v>5475</v>
      </c>
      <c r="B268" t="s">
        <v>2073</v>
      </c>
      <c r="C268" s="46">
        <v>186471</v>
      </c>
      <c r="D268" s="46">
        <v>204856</v>
      </c>
      <c r="E268" s="46">
        <v>236535</v>
      </c>
      <c r="F268">
        <v>-8.9700000000000006</v>
      </c>
      <c r="G268">
        <v>-21.16</v>
      </c>
      <c r="H268" s="46">
        <v>2042046</v>
      </c>
      <c r="I268" s="46">
        <v>2475929</v>
      </c>
      <c r="J268">
        <v>-17.52</v>
      </c>
      <c r="K268" s="286">
        <v>0</v>
      </c>
    </row>
    <row r="269" spans="1:11" customFormat="1" hidden="1">
      <c r="A269">
        <v>5474</v>
      </c>
      <c r="B269" t="s">
        <v>2193</v>
      </c>
      <c r="C269" s="46">
        <v>78263</v>
      </c>
      <c r="D269" s="46">
        <v>117886</v>
      </c>
      <c r="E269" s="46">
        <v>95341</v>
      </c>
      <c r="F269">
        <v>-33.61</v>
      </c>
      <c r="G269">
        <v>-17.91</v>
      </c>
      <c r="H269" s="46">
        <v>855451</v>
      </c>
      <c r="I269" s="46">
        <v>574447</v>
      </c>
      <c r="J269">
        <v>48.91</v>
      </c>
      <c r="K269" s="286">
        <v>0</v>
      </c>
    </row>
    <row r="270" spans="1:11" customFormat="1" hidden="1">
      <c r="A270">
        <v>5468</v>
      </c>
      <c r="B270" t="s">
        <v>441</v>
      </c>
      <c r="C270" s="46">
        <v>29158</v>
      </c>
      <c r="D270" s="46">
        <v>36820</v>
      </c>
      <c r="E270" s="46">
        <v>36658</v>
      </c>
      <c r="F270">
        <v>-20.8</v>
      </c>
      <c r="G270">
        <v>-20.45</v>
      </c>
      <c r="H270" s="46">
        <v>384110</v>
      </c>
      <c r="I270" s="46">
        <v>395427</v>
      </c>
      <c r="J270">
        <v>-2.86</v>
      </c>
      <c r="K270" s="286">
        <v>0</v>
      </c>
    </row>
    <row r="271" spans="1:11" customFormat="1" hidden="1">
      <c r="A271">
        <v>5465</v>
      </c>
      <c r="B271" t="s">
        <v>440</v>
      </c>
      <c r="C271" s="46">
        <v>180002</v>
      </c>
      <c r="D271" s="46">
        <v>180981</v>
      </c>
      <c r="E271" s="46">
        <v>235431</v>
      </c>
      <c r="F271">
        <v>-0.54</v>
      </c>
      <c r="G271">
        <v>-23.54</v>
      </c>
      <c r="H271" s="46">
        <v>2047026</v>
      </c>
      <c r="I271" s="46">
        <v>1897740</v>
      </c>
      <c r="J271">
        <v>7.86</v>
      </c>
      <c r="K271">
        <v>0</v>
      </c>
    </row>
    <row r="272" spans="1:11" customFormat="1" hidden="1">
      <c r="A272">
        <v>5464</v>
      </c>
      <c r="B272" t="s">
        <v>2072</v>
      </c>
      <c r="C272" s="46">
        <v>115524</v>
      </c>
      <c r="D272" s="46">
        <v>78892</v>
      </c>
      <c r="E272" s="46">
        <v>130406</v>
      </c>
      <c r="F272">
        <v>46.43</v>
      </c>
      <c r="G272">
        <v>-11.41</v>
      </c>
      <c r="H272" s="46">
        <v>1137397</v>
      </c>
      <c r="I272" s="46">
        <v>1224176</v>
      </c>
      <c r="J272">
        <v>-7.08</v>
      </c>
      <c r="K272">
        <v>0</v>
      </c>
    </row>
    <row r="273" spans="1:11" customFormat="1" hidden="1">
      <c r="A273">
        <v>5460</v>
      </c>
      <c r="B273" t="s">
        <v>2071</v>
      </c>
      <c r="C273" s="46">
        <v>67174</v>
      </c>
      <c r="D273" s="46">
        <v>68720</v>
      </c>
      <c r="E273" s="46">
        <v>88336</v>
      </c>
      <c r="F273">
        <v>-2.2400000000000002</v>
      </c>
      <c r="G273">
        <v>-23.95</v>
      </c>
      <c r="H273" s="46">
        <v>805338</v>
      </c>
      <c r="I273" s="46">
        <v>895437</v>
      </c>
      <c r="J273">
        <v>-10.06</v>
      </c>
      <c r="K273" s="286">
        <v>0</v>
      </c>
    </row>
    <row r="274" spans="1:11" customFormat="1" hidden="1">
      <c r="A274">
        <v>5457</v>
      </c>
      <c r="B274" t="s">
        <v>439</v>
      </c>
      <c r="C274" s="46">
        <v>181896</v>
      </c>
      <c r="D274" s="46">
        <v>214168</v>
      </c>
      <c r="E274" s="46">
        <v>195505</v>
      </c>
      <c r="F274">
        <v>-15.06</v>
      </c>
      <c r="G274">
        <v>-6.96</v>
      </c>
      <c r="H274" s="46">
        <v>1930047</v>
      </c>
      <c r="I274" s="46">
        <v>1688356</v>
      </c>
      <c r="J274">
        <v>14.31</v>
      </c>
      <c r="K274">
        <v>0</v>
      </c>
    </row>
    <row r="275" spans="1:11" customFormat="1" hidden="1">
      <c r="A275">
        <v>5455</v>
      </c>
      <c r="B275" t="s">
        <v>438</v>
      </c>
      <c r="C275" s="46">
        <v>2035</v>
      </c>
      <c r="D275" s="46">
        <v>522</v>
      </c>
      <c r="E275" s="46">
        <v>2999</v>
      </c>
      <c r="F275">
        <v>289.83999999999997</v>
      </c>
      <c r="G275">
        <v>-32.14</v>
      </c>
      <c r="H275" s="46">
        <v>15223</v>
      </c>
      <c r="I275" s="46">
        <v>29967</v>
      </c>
      <c r="J275">
        <v>-49.2</v>
      </c>
      <c r="K275">
        <v>1</v>
      </c>
    </row>
    <row r="276" spans="1:11" customFormat="1" hidden="1">
      <c r="A276">
        <v>5452</v>
      </c>
      <c r="B276" t="s">
        <v>437</v>
      </c>
      <c r="C276" s="46">
        <v>437584</v>
      </c>
      <c r="D276" s="46">
        <v>510505</v>
      </c>
      <c r="E276" s="46">
        <v>525053</v>
      </c>
      <c r="F276">
        <v>-14.28</v>
      </c>
      <c r="G276">
        <v>-16.649999999999999</v>
      </c>
      <c r="H276" s="46">
        <v>4677997</v>
      </c>
      <c r="I276" s="46">
        <v>6106730</v>
      </c>
      <c r="J276">
        <v>-23.39</v>
      </c>
      <c r="K276">
        <v>0</v>
      </c>
    </row>
    <row r="277" spans="1:11" customFormat="1" hidden="1">
      <c r="A277">
        <v>5450</v>
      </c>
      <c r="B277" t="s">
        <v>436</v>
      </c>
      <c r="C277" s="46">
        <v>60227</v>
      </c>
      <c r="D277" s="46">
        <v>74028</v>
      </c>
      <c r="E277" s="46">
        <v>61486</v>
      </c>
      <c r="F277">
        <v>-18.64</v>
      </c>
      <c r="G277">
        <v>-2.04</v>
      </c>
      <c r="H277" s="46">
        <v>617259</v>
      </c>
      <c r="I277" s="46">
        <v>696843</v>
      </c>
      <c r="J277">
        <v>-11.42</v>
      </c>
      <c r="K277" s="286">
        <v>0</v>
      </c>
    </row>
    <row r="278" spans="1:11" customFormat="1" hidden="1">
      <c r="A278">
        <v>5443</v>
      </c>
      <c r="B278" t="s">
        <v>2212</v>
      </c>
      <c r="C278" s="46">
        <v>321557</v>
      </c>
      <c r="D278" s="46">
        <v>389635</v>
      </c>
      <c r="E278" s="46">
        <v>132796</v>
      </c>
      <c r="F278">
        <v>-17.47</v>
      </c>
      <c r="G278">
        <v>142.13999999999999</v>
      </c>
      <c r="H278" s="46">
        <v>3014571</v>
      </c>
      <c r="I278" s="46">
        <v>2131079</v>
      </c>
      <c r="J278">
        <v>41.45</v>
      </c>
      <c r="K278">
        <v>1</v>
      </c>
    </row>
    <row r="279" spans="1:11" customFormat="1" hidden="1">
      <c r="A279">
        <v>5439</v>
      </c>
      <c r="B279" t="s">
        <v>435</v>
      </c>
      <c r="C279" s="46">
        <v>150721</v>
      </c>
      <c r="D279" s="46">
        <v>170363</v>
      </c>
      <c r="E279" s="46">
        <v>140811</v>
      </c>
      <c r="F279">
        <v>-11.52</v>
      </c>
      <c r="G279">
        <v>7.03</v>
      </c>
      <c r="H279" s="46">
        <v>1530498</v>
      </c>
      <c r="I279" s="46">
        <v>1520082</v>
      </c>
      <c r="J279">
        <v>0.68</v>
      </c>
      <c r="K279" s="286">
        <v>0</v>
      </c>
    </row>
    <row r="280" spans="1:11" customFormat="1" hidden="1">
      <c r="A280">
        <v>5438</v>
      </c>
      <c r="B280" t="s">
        <v>2192</v>
      </c>
      <c r="C280" s="46">
        <v>193972</v>
      </c>
      <c r="D280" s="46">
        <v>268961</v>
      </c>
      <c r="E280" s="46">
        <v>133715</v>
      </c>
      <c r="F280">
        <v>-27.88</v>
      </c>
      <c r="G280">
        <v>45.06</v>
      </c>
      <c r="H280" s="46">
        <v>2043216</v>
      </c>
      <c r="I280" s="46">
        <v>2143853</v>
      </c>
      <c r="J280">
        <v>-4.6900000000000004</v>
      </c>
      <c r="K280" s="286">
        <v>0</v>
      </c>
    </row>
    <row r="281" spans="1:11" customFormat="1" hidden="1">
      <c r="A281">
        <v>5432</v>
      </c>
      <c r="B281" t="s">
        <v>2044</v>
      </c>
      <c r="C281" s="46">
        <v>9840</v>
      </c>
      <c r="D281" s="46">
        <v>8720</v>
      </c>
      <c r="E281" s="46">
        <v>13215</v>
      </c>
      <c r="F281">
        <v>12.84</v>
      </c>
      <c r="G281">
        <v>-25.53</v>
      </c>
      <c r="H281" s="46">
        <v>104454</v>
      </c>
      <c r="I281" s="46">
        <v>122157</v>
      </c>
      <c r="J281">
        <v>-14.49</v>
      </c>
      <c r="K281">
        <v>0</v>
      </c>
    </row>
    <row r="282" spans="1:11" customFormat="1" hidden="1">
      <c r="A282">
        <v>5426</v>
      </c>
      <c r="B282" t="s">
        <v>434</v>
      </c>
      <c r="C282" s="46">
        <v>134891</v>
      </c>
      <c r="D282" s="46">
        <v>135289</v>
      </c>
      <c r="E282" s="46">
        <v>162638</v>
      </c>
      <c r="F282">
        <v>-0.28999999999999998</v>
      </c>
      <c r="G282">
        <v>-17.059999999999999</v>
      </c>
      <c r="H282" s="46">
        <v>1354618</v>
      </c>
      <c r="I282" s="46">
        <v>1557713</v>
      </c>
      <c r="J282">
        <v>-13.03</v>
      </c>
      <c r="K282">
        <v>0</v>
      </c>
    </row>
    <row r="283" spans="1:11" customFormat="1" hidden="1">
      <c r="A283">
        <v>5425</v>
      </c>
      <c r="B283" t="s">
        <v>433</v>
      </c>
      <c r="C283" s="46">
        <v>733170</v>
      </c>
      <c r="D283" s="46">
        <v>648001</v>
      </c>
      <c r="E283" s="46">
        <v>602560</v>
      </c>
      <c r="F283">
        <v>13.14</v>
      </c>
      <c r="G283">
        <v>21.67</v>
      </c>
      <c r="H283" s="46">
        <v>6417270</v>
      </c>
      <c r="I283" s="46">
        <v>6433254</v>
      </c>
      <c r="J283">
        <v>-0.24</v>
      </c>
      <c r="K283" s="286">
        <v>1</v>
      </c>
    </row>
    <row r="284" spans="1:11" customFormat="1" hidden="1">
      <c r="A284">
        <v>5410</v>
      </c>
      <c r="B284" t="s">
        <v>2260</v>
      </c>
      <c r="C284" s="46">
        <v>237693</v>
      </c>
      <c r="D284" s="46">
        <v>280687</v>
      </c>
      <c r="E284" s="46">
        <v>200848</v>
      </c>
      <c r="F284">
        <v>-15.31</v>
      </c>
      <c r="G284">
        <v>18.34</v>
      </c>
      <c r="H284" s="46">
        <v>1788193</v>
      </c>
      <c r="I284" s="46">
        <v>1805898</v>
      </c>
      <c r="J284">
        <v>-0.98</v>
      </c>
      <c r="K284">
        <v>1</v>
      </c>
    </row>
    <row r="285" spans="1:11" customFormat="1" hidden="1">
      <c r="A285">
        <v>5403</v>
      </c>
      <c r="B285" t="s">
        <v>2100</v>
      </c>
      <c r="C285" s="46">
        <v>107794</v>
      </c>
      <c r="D285" s="46">
        <v>106731</v>
      </c>
      <c r="E285" s="46">
        <v>113544</v>
      </c>
      <c r="F285">
        <v>0.99</v>
      </c>
      <c r="G285">
        <v>-5.0599999999999996</v>
      </c>
      <c r="H285" s="46">
        <v>1045106</v>
      </c>
      <c r="I285" s="46">
        <v>1028095</v>
      </c>
      <c r="J285">
        <v>1.65</v>
      </c>
      <c r="K285" s="286">
        <v>0</v>
      </c>
    </row>
    <row r="286" spans="1:11" customFormat="1" hidden="1">
      <c r="A286">
        <v>5398</v>
      </c>
      <c r="B286" t="s">
        <v>432</v>
      </c>
      <c r="C286" s="46">
        <v>16465</v>
      </c>
      <c r="D286" s="46">
        <v>19830</v>
      </c>
      <c r="E286" s="46">
        <v>18301</v>
      </c>
      <c r="F286">
        <v>-16.96</v>
      </c>
      <c r="G286">
        <v>-10.029999999999999</v>
      </c>
      <c r="H286" s="46">
        <v>186199</v>
      </c>
      <c r="I286" s="46">
        <v>221607</v>
      </c>
      <c r="J286">
        <v>-15.97</v>
      </c>
      <c r="K286" s="286">
        <v>0</v>
      </c>
    </row>
    <row r="287" spans="1:11" customFormat="1" hidden="1">
      <c r="A287">
        <v>5395</v>
      </c>
      <c r="B287" t="s">
        <v>2280</v>
      </c>
      <c r="C287" s="46">
        <v>91444</v>
      </c>
      <c r="D287" s="46">
        <v>75979</v>
      </c>
      <c r="E287" s="46">
        <v>3133</v>
      </c>
      <c r="F287">
        <v>20.350000000000001</v>
      </c>
      <c r="G287" s="276">
        <v>2818.73</v>
      </c>
      <c r="H287" s="46">
        <v>887092</v>
      </c>
      <c r="I287" s="46">
        <v>32841</v>
      </c>
      <c r="J287" s="276">
        <v>2601.17</v>
      </c>
      <c r="K287">
        <v>0</v>
      </c>
    </row>
    <row r="288" spans="1:11" customFormat="1">
      <c r="A288" s="62" t="str">
        <f>HYPERLINK("http://tw.stock.yahoo.com/q/ta?s=1566","1566")</f>
        <v>1566</v>
      </c>
      <c r="B288" s="62" t="str">
        <f>HYPERLINK("http://tw.stock.yahoo.com/d/s/earning_1566.html","捷邦")</f>
        <v>捷邦</v>
      </c>
      <c r="C288" s="46">
        <v>466637</v>
      </c>
      <c r="D288" s="46">
        <v>439140</v>
      </c>
      <c r="E288" s="46">
        <v>152774</v>
      </c>
      <c r="F288">
        <v>6.26</v>
      </c>
      <c r="G288">
        <v>205.44</v>
      </c>
      <c r="H288" s="46">
        <v>3548628</v>
      </c>
      <c r="I288" s="46">
        <v>1576772</v>
      </c>
      <c r="J288">
        <v>125.05</v>
      </c>
      <c r="K288" s="286">
        <v>1</v>
      </c>
    </row>
    <row r="289" spans="1:11" customFormat="1" hidden="1">
      <c r="A289">
        <v>5386</v>
      </c>
      <c r="B289" t="s">
        <v>2191</v>
      </c>
      <c r="C289" s="46">
        <v>146626</v>
      </c>
      <c r="D289" s="46">
        <v>90187</v>
      </c>
      <c r="E289" s="46">
        <v>88652</v>
      </c>
      <c r="F289">
        <v>62.57</v>
      </c>
      <c r="G289">
        <v>65.39</v>
      </c>
      <c r="H289" s="46">
        <v>1483154</v>
      </c>
      <c r="I289" s="46">
        <v>638840</v>
      </c>
      <c r="J289">
        <v>132.16</v>
      </c>
      <c r="K289">
        <v>0</v>
      </c>
    </row>
    <row r="290" spans="1:11" customFormat="1" hidden="1">
      <c r="A290">
        <v>5384</v>
      </c>
      <c r="B290" t="s">
        <v>431</v>
      </c>
      <c r="C290" s="46">
        <v>1054575</v>
      </c>
      <c r="D290" s="46">
        <v>995061</v>
      </c>
      <c r="E290" s="46">
        <v>860005</v>
      </c>
      <c r="F290">
        <v>5.98</v>
      </c>
      <c r="G290">
        <v>22.62</v>
      </c>
      <c r="H290" s="46">
        <v>9403727</v>
      </c>
      <c r="I290" s="46">
        <v>8825269</v>
      </c>
      <c r="J290">
        <v>6.55</v>
      </c>
      <c r="K290" s="286">
        <v>1</v>
      </c>
    </row>
    <row r="291" spans="1:11" customFormat="1" hidden="1">
      <c r="A291">
        <v>5383</v>
      </c>
      <c r="B291" t="s">
        <v>2105</v>
      </c>
      <c r="C291" s="46">
        <v>63404</v>
      </c>
      <c r="D291" s="46">
        <v>81083</v>
      </c>
      <c r="E291" s="46">
        <v>68032</v>
      </c>
      <c r="F291">
        <v>-21.8</v>
      </c>
      <c r="G291" s="276">
        <v>-6.8</v>
      </c>
      <c r="H291" s="46">
        <v>706177</v>
      </c>
      <c r="I291" s="46">
        <v>868518</v>
      </c>
      <c r="J291">
        <v>-18.690000000000001</v>
      </c>
      <c r="K291">
        <v>0</v>
      </c>
    </row>
    <row r="292" spans="1:11" customFormat="1" hidden="1">
      <c r="A292">
        <v>5381</v>
      </c>
      <c r="B292" t="s">
        <v>2235</v>
      </c>
      <c r="C292" s="46">
        <v>48614</v>
      </c>
      <c r="D292" s="46">
        <v>55838</v>
      </c>
      <c r="E292" s="46">
        <v>130124</v>
      </c>
      <c r="F292">
        <v>-12.93</v>
      </c>
      <c r="G292">
        <v>-62.64</v>
      </c>
      <c r="H292" s="46">
        <v>899863</v>
      </c>
      <c r="I292" s="46">
        <v>1137101</v>
      </c>
      <c r="J292">
        <v>-20.86</v>
      </c>
      <c r="K292">
        <v>0</v>
      </c>
    </row>
    <row r="293" spans="1:11" customFormat="1" hidden="1">
      <c r="A293">
        <v>5371</v>
      </c>
      <c r="B293" t="s">
        <v>430</v>
      </c>
      <c r="C293" s="46">
        <v>6087819</v>
      </c>
      <c r="D293" s="46">
        <v>6591478</v>
      </c>
      <c r="E293" s="46">
        <v>6759723</v>
      </c>
      <c r="F293">
        <v>-7.64</v>
      </c>
      <c r="G293">
        <v>-9.93</v>
      </c>
      <c r="H293" s="46">
        <v>57169726</v>
      </c>
      <c r="I293" s="46">
        <v>68586570</v>
      </c>
      <c r="J293">
        <v>-16.64</v>
      </c>
      <c r="K293">
        <v>1</v>
      </c>
    </row>
    <row r="294" spans="1:11" customFormat="1">
      <c r="A294" s="62" t="str">
        <f>HYPERLINK("http://tw.stock.yahoo.com/q/ta?s=5206","5206")</f>
        <v>5206</v>
      </c>
      <c r="B294" s="62" t="str">
        <f>HYPERLINK("http://tw.stock.yahoo.com/d/s/earning_5206.html","坤悅")</f>
        <v>坤悅</v>
      </c>
      <c r="C294" s="46">
        <v>564233</v>
      </c>
      <c r="D294" s="46">
        <v>39323</v>
      </c>
      <c r="E294" s="46">
        <v>25136</v>
      </c>
      <c r="F294" s="276">
        <v>1334.86</v>
      </c>
      <c r="G294" s="276">
        <v>2144.7199999999998</v>
      </c>
      <c r="H294" s="46">
        <v>1447022</v>
      </c>
      <c r="I294" s="46">
        <v>657869</v>
      </c>
      <c r="J294">
        <v>119.95</v>
      </c>
      <c r="K294" s="286">
        <v>1</v>
      </c>
    </row>
    <row r="295" spans="1:11" customFormat="1" hidden="1">
      <c r="A295">
        <v>5356</v>
      </c>
      <c r="B295" t="s">
        <v>2035</v>
      </c>
      <c r="C295" s="46">
        <v>657196</v>
      </c>
      <c r="D295" s="46">
        <v>819439</v>
      </c>
      <c r="E295" s="46">
        <v>699857</v>
      </c>
      <c r="F295">
        <v>-19.79</v>
      </c>
      <c r="G295">
        <v>-6.09</v>
      </c>
      <c r="H295" s="46">
        <v>7745684</v>
      </c>
      <c r="I295" s="46">
        <v>7757392</v>
      </c>
      <c r="J295">
        <v>-0.15</v>
      </c>
      <c r="K295">
        <v>0</v>
      </c>
    </row>
    <row r="296" spans="1:11" customFormat="1" hidden="1">
      <c r="A296">
        <v>5355</v>
      </c>
      <c r="B296" t="s">
        <v>428</v>
      </c>
      <c r="C296" s="46">
        <v>90269</v>
      </c>
      <c r="D296" s="46">
        <v>100069</v>
      </c>
      <c r="E296" s="46">
        <v>130333</v>
      </c>
      <c r="F296">
        <v>-9.7899999999999991</v>
      </c>
      <c r="G296">
        <v>-30.73</v>
      </c>
      <c r="H296" s="46">
        <v>1177597</v>
      </c>
      <c r="I296" s="46">
        <v>1347491</v>
      </c>
      <c r="J296">
        <v>-12.6</v>
      </c>
      <c r="K296">
        <v>0</v>
      </c>
    </row>
    <row r="297" spans="1:11" customFormat="1" hidden="1">
      <c r="A297">
        <v>5353</v>
      </c>
      <c r="B297" t="s">
        <v>2222</v>
      </c>
      <c r="C297" s="46">
        <v>92141</v>
      </c>
      <c r="D297" s="46">
        <v>75463</v>
      </c>
      <c r="E297" s="46">
        <v>108655</v>
      </c>
      <c r="F297">
        <v>22.1</v>
      </c>
      <c r="G297">
        <v>-15.19</v>
      </c>
      <c r="H297" s="46">
        <v>911355</v>
      </c>
      <c r="I297" s="46">
        <v>1024624</v>
      </c>
      <c r="J297">
        <v>-11.05</v>
      </c>
      <c r="K297">
        <v>0</v>
      </c>
    </row>
    <row r="298" spans="1:11" customFormat="1" hidden="1">
      <c r="A298">
        <v>5351</v>
      </c>
      <c r="B298" t="s">
        <v>2016</v>
      </c>
      <c r="C298" s="46">
        <v>575825</v>
      </c>
      <c r="D298" s="46">
        <v>585328</v>
      </c>
      <c r="E298" s="46">
        <v>676862</v>
      </c>
      <c r="F298">
        <v>-1.62</v>
      </c>
      <c r="G298">
        <v>-14.92</v>
      </c>
      <c r="H298" s="46">
        <v>6257384</v>
      </c>
      <c r="I298" s="46">
        <v>6253763</v>
      </c>
      <c r="J298">
        <v>0.05</v>
      </c>
      <c r="K298">
        <v>0</v>
      </c>
    </row>
    <row r="299" spans="1:11" customFormat="1" hidden="1">
      <c r="A299">
        <v>5349</v>
      </c>
      <c r="B299" t="s">
        <v>2070</v>
      </c>
      <c r="C299" s="46">
        <v>642005</v>
      </c>
      <c r="D299" s="46">
        <v>605497</v>
      </c>
      <c r="E299" s="46">
        <v>767664</v>
      </c>
      <c r="F299">
        <v>6.02</v>
      </c>
      <c r="G299">
        <v>-16.36</v>
      </c>
      <c r="H299" s="46">
        <v>6569701</v>
      </c>
      <c r="I299" s="46">
        <v>6637948</v>
      </c>
      <c r="J299">
        <v>-1.02</v>
      </c>
      <c r="K299" s="286">
        <v>0</v>
      </c>
    </row>
    <row r="300" spans="1:11" customFormat="1" hidden="1">
      <c r="A300">
        <v>5348</v>
      </c>
      <c r="B300" t="s">
        <v>2221</v>
      </c>
      <c r="C300" s="46">
        <v>25131</v>
      </c>
      <c r="D300" s="46">
        <v>18686</v>
      </c>
      <c r="E300" s="46">
        <v>19664</v>
      </c>
      <c r="F300">
        <v>34.49</v>
      </c>
      <c r="G300">
        <v>27.8</v>
      </c>
      <c r="H300" s="46">
        <v>170739</v>
      </c>
      <c r="I300" s="46">
        <v>169013</v>
      </c>
      <c r="J300">
        <v>1.02</v>
      </c>
      <c r="K300">
        <v>1</v>
      </c>
    </row>
    <row r="301" spans="1:11" customFormat="1" hidden="1">
      <c r="A301">
        <v>5347</v>
      </c>
      <c r="B301" t="s">
        <v>427</v>
      </c>
      <c r="C301" s="46">
        <v>1897237</v>
      </c>
      <c r="D301" s="46">
        <v>1767913</v>
      </c>
      <c r="E301" s="46">
        <v>2151548</v>
      </c>
      <c r="F301">
        <v>7.31</v>
      </c>
      <c r="G301">
        <v>-11.81</v>
      </c>
      <c r="H301" s="46">
        <v>19734961</v>
      </c>
      <c r="I301" s="46">
        <v>19664996</v>
      </c>
      <c r="J301">
        <v>0.35</v>
      </c>
      <c r="K301">
        <v>0</v>
      </c>
    </row>
    <row r="302" spans="1:11" customFormat="1" hidden="1">
      <c r="A302">
        <v>5345</v>
      </c>
      <c r="B302" t="s">
        <v>426</v>
      </c>
      <c r="C302" s="46">
        <v>9352</v>
      </c>
      <c r="D302" s="46">
        <v>11188</v>
      </c>
      <c r="E302" s="46">
        <v>6384</v>
      </c>
      <c r="F302">
        <v>-16.41</v>
      </c>
      <c r="G302">
        <v>46.49</v>
      </c>
      <c r="H302" s="46">
        <v>106531</v>
      </c>
      <c r="I302" s="46">
        <v>165095</v>
      </c>
      <c r="J302">
        <v>-35.47</v>
      </c>
      <c r="K302">
        <v>0</v>
      </c>
    </row>
    <row r="303" spans="1:11" customFormat="1" hidden="1">
      <c r="A303">
        <v>5344</v>
      </c>
      <c r="B303" t="s">
        <v>2184</v>
      </c>
      <c r="C303" s="46">
        <v>10517</v>
      </c>
      <c r="D303" s="46">
        <v>9788</v>
      </c>
      <c r="E303" s="46">
        <v>10724</v>
      </c>
      <c r="F303">
        <v>7.44</v>
      </c>
      <c r="G303">
        <v>-1.93</v>
      </c>
      <c r="H303" s="46">
        <v>106202</v>
      </c>
      <c r="I303" s="46">
        <v>120548</v>
      </c>
      <c r="J303">
        <v>-11.9</v>
      </c>
      <c r="K303">
        <v>0</v>
      </c>
    </row>
    <row r="304" spans="1:11" customFormat="1" hidden="1">
      <c r="A304">
        <v>5340</v>
      </c>
      <c r="B304" t="s">
        <v>2234</v>
      </c>
      <c r="C304" s="46">
        <v>70891</v>
      </c>
      <c r="D304" s="46">
        <v>77916</v>
      </c>
      <c r="E304" s="46">
        <v>72645</v>
      </c>
      <c r="F304">
        <v>-9.01</v>
      </c>
      <c r="G304">
        <v>-2.41</v>
      </c>
      <c r="H304" s="46">
        <v>786647</v>
      </c>
      <c r="I304" s="46">
        <v>877090</v>
      </c>
      <c r="J304">
        <v>-10.31</v>
      </c>
      <c r="K304">
        <v>0</v>
      </c>
    </row>
    <row r="305" spans="1:11" customFormat="1" hidden="1">
      <c r="A305">
        <v>5328</v>
      </c>
      <c r="B305" t="s">
        <v>2233</v>
      </c>
      <c r="C305" s="46">
        <v>95368</v>
      </c>
      <c r="D305" s="46">
        <v>82714</v>
      </c>
      <c r="E305" s="46">
        <v>91675</v>
      </c>
      <c r="F305">
        <v>15.29</v>
      </c>
      <c r="G305">
        <v>4.0199999999999996</v>
      </c>
      <c r="H305" s="46">
        <v>858659</v>
      </c>
      <c r="I305" s="46">
        <v>1020519</v>
      </c>
      <c r="J305">
        <v>-15.86</v>
      </c>
      <c r="K305" s="286">
        <v>1</v>
      </c>
    </row>
    <row r="306" spans="1:11" customFormat="1" hidden="1">
      <c r="A306">
        <v>5324</v>
      </c>
      <c r="B306" t="s">
        <v>425</v>
      </c>
      <c r="C306" s="46">
        <v>11823</v>
      </c>
      <c r="D306" s="46">
        <v>13045</v>
      </c>
      <c r="E306" s="46">
        <v>11851</v>
      </c>
      <c r="F306">
        <v>-9.36</v>
      </c>
      <c r="G306">
        <v>-0.23</v>
      </c>
      <c r="H306" s="46">
        <v>118933</v>
      </c>
      <c r="I306" s="46">
        <v>145158</v>
      </c>
      <c r="J306">
        <v>-18.059999999999999</v>
      </c>
      <c r="K306">
        <v>0</v>
      </c>
    </row>
    <row r="307" spans="1:11" customFormat="1" hidden="1">
      <c r="A307">
        <v>5321</v>
      </c>
      <c r="B307" t="s">
        <v>2069</v>
      </c>
      <c r="C307" s="46">
        <v>91336</v>
      </c>
      <c r="D307" s="46">
        <v>89020</v>
      </c>
      <c r="E307" s="46">
        <v>126751</v>
      </c>
      <c r="F307">
        <v>2.6</v>
      </c>
      <c r="G307">
        <v>-27.94</v>
      </c>
      <c r="H307" s="46">
        <v>961187</v>
      </c>
      <c r="I307" s="46">
        <v>848374</v>
      </c>
      <c r="J307">
        <v>13.29</v>
      </c>
      <c r="K307">
        <v>0</v>
      </c>
    </row>
    <row r="308" spans="1:11" customFormat="1" hidden="1">
      <c r="A308">
        <v>5317</v>
      </c>
      <c r="B308" t="s">
        <v>424</v>
      </c>
      <c r="C308" s="46">
        <v>129564</v>
      </c>
      <c r="D308" s="46">
        <v>136923</v>
      </c>
      <c r="E308" s="46">
        <v>140410</v>
      </c>
      <c r="F308">
        <v>-5.37</v>
      </c>
      <c r="G308">
        <v>-7.72</v>
      </c>
      <c r="H308" s="46">
        <v>1366949</v>
      </c>
      <c r="I308" s="46">
        <v>1503904</v>
      </c>
      <c r="J308">
        <v>-9.1</v>
      </c>
      <c r="K308">
        <v>0</v>
      </c>
    </row>
    <row r="309" spans="1:11" customFormat="1" hidden="1">
      <c r="A309">
        <v>5315</v>
      </c>
      <c r="B309" t="s">
        <v>2043</v>
      </c>
      <c r="C309" s="46">
        <v>230783</v>
      </c>
      <c r="D309" s="46">
        <v>228159</v>
      </c>
      <c r="E309" s="46">
        <v>204366</v>
      </c>
      <c r="F309">
        <v>1.1499999999999999</v>
      </c>
      <c r="G309">
        <v>12.92</v>
      </c>
      <c r="H309" s="46">
        <v>2194854</v>
      </c>
      <c r="I309" s="46">
        <v>1848670</v>
      </c>
      <c r="J309">
        <v>18.72</v>
      </c>
      <c r="K309">
        <v>1</v>
      </c>
    </row>
    <row r="310" spans="1:11" customFormat="1" hidden="1">
      <c r="A310">
        <v>5314</v>
      </c>
      <c r="B310" t="s">
        <v>2015</v>
      </c>
      <c r="C310" s="46">
        <v>11930</v>
      </c>
      <c r="D310" s="46">
        <v>9925</v>
      </c>
      <c r="E310" s="46">
        <v>22625</v>
      </c>
      <c r="F310">
        <v>20.2</v>
      </c>
      <c r="G310">
        <v>-47.27</v>
      </c>
      <c r="H310" s="46">
        <v>132358</v>
      </c>
      <c r="I310" s="46">
        <v>188926</v>
      </c>
      <c r="J310">
        <v>-29.94</v>
      </c>
      <c r="K310">
        <v>0</v>
      </c>
    </row>
    <row r="311" spans="1:11" customFormat="1" hidden="1">
      <c r="A311">
        <v>5312</v>
      </c>
      <c r="B311" t="s">
        <v>423</v>
      </c>
      <c r="C311" s="46">
        <v>223099</v>
      </c>
      <c r="D311" s="46">
        <v>213729</v>
      </c>
      <c r="E311" s="46">
        <v>211089</v>
      </c>
      <c r="F311">
        <v>4.38</v>
      </c>
      <c r="G311">
        <v>5.68</v>
      </c>
      <c r="H311" s="46">
        <v>2139114</v>
      </c>
      <c r="I311" s="46">
        <v>2018499</v>
      </c>
      <c r="J311">
        <v>5.97</v>
      </c>
      <c r="K311" s="286">
        <v>0</v>
      </c>
    </row>
    <row r="312" spans="1:11" customFormat="1" hidden="1">
      <c r="A312">
        <v>5310</v>
      </c>
      <c r="B312" t="s">
        <v>2259</v>
      </c>
      <c r="C312" s="46">
        <v>27575</v>
      </c>
      <c r="D312" s="46">
        <v>24957</v>
      </c>
      <c r="E312" s="46">
        <v>24340</v>
      </c>
      <c r="F312">
        <v>10.49</v>
      </c>
      <c r="G312">
        <v>13.29</v>
      </c>
      <c r="H312" s="46">
        <v>222157</v>
      </c>
      <c r="I312" s="46">
        <v>225827</v>
      </c>
      <c r="J312">
        <v>-1.62</v>
      </c>
      <c r="K312" s="286">
        <v>1</v>
      </c>
    </row>
    <row r="313" spans="1:11" customFormat="1" hidden="1">
      <c r="A313">
        <v>5309</v>
      </c>
      <c r="B313" t="s">
        <v>2232</v>
      </c>
      <c r="C313" s="46">
        <v>259772</v>
      </c>
      <c r="D313" s="46">
        <v>153373</v>
      </c>
      <c r="E313" s="46">
        <v>189149</v>
      </c>
      <c r="F313">
        <v>69.37</v>
      </c>
      <c r="G313">
        <v>37.33</v>
      </c>
      <c r="H313" s="46">
        <v>1398837</v>
      </c>
      <c r="I313" s="46">
        <v>1759749</v>
      </c>
      <c r="J313">
        <v>-20.5</v>
      </c>
      <c r="K313">
        <v>1</v>
      </c>
    </row>
    <row r="314" spans="1:11" customFormat="1" hidden="1">
      <c r="A314">
        <v>5306</v>
      </c>
      <c r="B314" t="s">
        <v>1657</v>
      </c>
      <c r="C314" s="46">
        <v>268625</v>
      </c>
      <c r="D314" s="46">
        <v>291220</v>
      </c>
      <c r="E314" s="46">
        <v>246579</v>
      </c>
      <c r="F314">
        <v>-7.75</v>
      </c>
      <c r="G314">
        <v>8.94</v>
      </c>
      <c r="H314" s="46">
        <v>2730554</v>
      </c>
      <c r="I314" s="46">
        <v>2244579</v>
      </c>
      <c r="J314">
        <v>21.65</v>
      </c>
      <c r="K314">
        <v>0</v>
      </c>
    </row>
    <row r="315" spans="1:11" customFormat="1" hidden="1">
      <c r="A315">
        <v>5304</v>
      </c>
      <c r="B315" t="s">
        <v>422</v>
      </c>
      <c r="C315" s="46">
        <v>69008</v>
      </c>
      <c r="D315" s="46">
        <v>62803</v>
      </c>
      <c r="E315" s="46">
        <v>54115</v>
      </c>
      <c r="F315">
        <v>9.8800000000000008</v>
      </c>
      <c r="G315">
        <v>27.52</v>
      </c>
      <c r="H315" s="46">
        <v>693186</v>
      </c>
      <c r="I315" s="46">
        <v>590508</v>
      </c>
      <c r="J315">
        <v>17.38</v>
      </c>
      <c r="K315" s="286">
        <v>0</v>
      </c>
    </row>
    <row r="316" spans="1:11" customFormat="1" hidden="1">
      <c r="A316">
        <v>5302</v>
      </c>
      <c r="B316" t="s">
        <v>421</v>
      </c>
      <c r="C316" s="46">
        <v>14997</v>
      </c>
      <c r="D316" s="46">
        <v>16132</v>
      </c>
      <c r="E316" s="46">
        <v>15472</v>
      </c>
      <c r="F316">
        <v>-7.03</v>
      </c>
      <c r="G316">
        <v>-3.07</v>
      </c>
      <c r="H316" s="46">
        <v>174983</v>
      </c>
      <c r="I316" s="46">
        <v>156434</v>
      </c>
      <c r="J316">
        <v>11.85</v>
      </c>
      <c r="K316">
        <v>0</v>
      </c>
    </row>
    <row r="317" spans="1:11" customFormat="1">
      <c r="A317" s="62" t="str">
        <f>HYPERLINK("http://tw.stock.yahoo.com/q/ta?s=8266","8266")</f>
        <v>8266</v>
      </c>
      <c r="B317" s="62" t="str">
        <f>HYPERLINK("http://tw.stock.yahoo.com/d/s/earning_8266.html","中日新")</f>
        <v>中日新</v>
      </c>
      <c r="C317" s="46">
        <v>442027</v>
      </c>
      <c r="D317" s="46">
        <v>268890</v>
      </c>
      <c r="E317" s="46">
        <v>342143</v>
      </c>
      <c r="F317">
        <v>64.38</v>
      </c>
      <c r="G317">
        <v>29.19</v>
      </c>
      <c r="H317" s="46">
        <v>2381090</v>
      </c>
      <c r="I317" s="46">
        <v>1116801</v>
      </c>
      <c r="J317">
        <v>113.2</v>
      </c>
      <c r="K317">
        <v>1</v>
      </c>
    </row>
    <row r="318" spans="1:11" customFormat="1" hidden="1">
      <c r="A318">
        <v>5291</v>
      </c>
      <c r="B318" t="s">
        <v>419</v>
      </c>
      <c r="C318" s="46">
        <v>73048</v>
      </c>
      <c r="D318" s="46">
        <v>87526</v>
      </c>
      <c r="E318" s="46">
        <v>85982</v>
      </c>
      <c r="F318">
        <v>-16.54</v>
      </c>
      <c r="G318">
        <v>-15.04</v>
      </c>
      <c r="H318" s="46">
        <v>874435</v>
      </c>
      <c r="I318" s="46">
        <v>1316065</v>
      </c>
      <c r="J318">
        <v>-33.549999999999997</v>
      </c>
      <c r="K318" s="286">
        <v>0</v>
      </c>
    </row>
    <row r="319" spans="1:11" customFormat="1" hidden="1">
      <c r="A319">
        <v>5289</v>
      </c>
      <c r="B319" t="s">
        <v>2034</v>
      </c>
      <c r="C319" s="46">
        <v>371324</v>
      </c>
      <c r="D319" s="46">
        <v>403075</v>
      </c>
      <c r="E319" s="46">
        <v>378097</v>
      </c>
      <c r="F319">
        <v>-7.87</v>
      </c>
      <c r="G319">
        <v>-1.79</v>
      </c>
      <c r="H319" s="46">
        <v>3598161</v>
      </c>
      <c r="I319" s="46">
        <v>2892278</v>
      </c>
      <c r="J319" s="276">
        <v>24.4</v>
      </c>
      <c r="K319">
        <v>0</v>
      </c>
    </row>
    <row r="320" spans="1:11" customFormat="1" hidden="1">
      <c r="A320">
        <v>5287</v>
      </c>
      <c r="B320" t="s">
        <v>418</v>
      </c>
      <c r="C320" s="46">
        <v>113377</v>
      </c>
      <c r="D320" s="46">
        <v>113538</v>
      </c>
      <c r="E320" s="46">
        <v>114390</v>
      </c>
      <c r="F320">
        <v>-0.14000000000000001</v>
      </c>
      <c r="G320" s="276">
        <v>-0.88</v>
      </c>
      <c r="H320" s="46">
        <v>1140129</v>
      </c>
      <c r="I320" s="46">
        <v>933562</v>
      </c>
      <c r="J320">
        <v>22.12</v>
      </c>
      <c r="K320" s="286">
        <v>0</v>
      </c>
    </row>
    <row r="321" spans="1:11" customFormat="1" hidden="1">
      <c r="A321">
        <v>5278</v>
      </c>
      <c r="B321" t="s">
        <v>417</v>
      </c>
      <c r="C321" s="46">
        <v>24992</v>
      </c>
      <c r="D321" s="46">
        <v>23249</v>
      </c>
      <c r="E321" s="46">
        <v>19438</v>
      </c>
      <c r="F321">
        <v>7.49</v>
      </c>
      <c r="G321">
        <v>28.57</v>
      </c>
      <c r="H321" s="46">
        <v>196510</v>
      </c>
      <c r="I321" s="46">
        <v>226030</v>
      </c>
      <c r="J321">
        <v>-13.06</v>
      </c>
      <c r="K321" s="286">
        <v>1</v>
      </c>
    </row>
    <row r="322" spans="1:11" customFormat="1" hidden="1">
      <c r="A322">
        <v>5274</v>
      </c>
      <c r="B322" t="s">
        <v>2014</v>
      </c>
      <c r="C322" s="46">
        <v>85278</v>
      </c>
      <c r="D322" s="46">
        <v>96555</v>
      </c>
      <c r="E322" s="46">
        <v>70177</v>
      </c>
      <c r="F322">
        <v>-11.67</v>
      </c>
      <c r="G322">
        <v>21.51</v>
      </c>
      <c r="H322" s="46">
        <v>819546</v>
      </c>
      <c r="I322" s="46">
        <v>688932</v>
      </c>
      <c r="J322">
        <v>18.95</v>
      </c>
      <c r="K322">
        <v>0</v>
      </c>
    </row>
    <row r="323" spans="1:11" customFormat="1" hidden="1">
      <c r="A323">
        <v>5272</v>
      </c>
      <c r="B323" t="s">
        <v>416</v>
      </c>
      <c r="C323" s="46">
        <v>52396</v>
      </c>
      <c r="D323" s="46">
        <v>46006</v>
      </c>
      <c r="E323" s="46">
        <v>72200</v>
      </c>
      <c r="F323">
        <v>13.88</v>
      </c>
      <c r="G323">
        <v>-27.42</v>
      </c>
      <c r="H323" s="46">
        <v>492447</v>
      </c>
      <c r="I323" s="46">
        <v>596097</v>
      </c>
      <c r="J323">
        <v>-17.38</v>
      </c>
      <c r="K323">
        <v>1</v>
      </c>
    </row>
    <row r="324" spans="1:11" customFormat="1" hidden="1">
      <c r="A324">
        <v>5263</v>
      </c>
      <c r="B324" t="s">
        <v>2294</v>
      </c>
      <c r="C324" s="46">
        <v>72494</v>
      </c>
      <c r="D324" s="46">
        <v>67775</v>
      </c>
      <c r="E324" s="46">
        <v>35140</v>
      </c>
      <c r="F324">
        <v>6.96</v>
      </c>
      <c r="G324">
        <v>106.3</v>
      </c>
      <c r="H324" s="46">
        <v>577468</v>
      </c>
      <c r="I324" s="46">
        <v>762802</v>
      </c>
      <c r="J324">
        <v>-24.29</v>
      </c>
      <c r="K324" s="286">
        <v>1</v>
      </c>
    </row>
    <row r="325" spans="1:11" customFormat="1" hidden="1">
      <c r="A325">
        <v>5255</v>
      </c>
      <c r="B325" t="s">
        <v>415</v>
      </c>
      <c r="C325" s="46">
        <v>101073</v>
      </c>
      <c r="D325" s="46">
        <v>109212</v>
      </c>
      <c r="E325" s="46">
        <v>100793</v>
      </c>
      <c r="F325">
        <v>-7.45</v>
      </c>
      <c r="G325">
        <v>0.27</v>
      </c>
      <c r="H325" s="46">
        <v>947757</v>
      </c>
      <c r="I325" s="46">
        <v>1069766</v>
      </c>
      <c r="J325">
        <v>-11.4</v>
      </c>
      <c r="K325" s="286">
        <v>1</v>
      </c>
    </row>
    <row r="326" spans="1:11" customFormat="1" hidden="1">
      <c r="A326">
        <v>5251</v>
      </c>
      <c r="B326" t="s">
        <v>414</v>
      </c>
      <c r="C326" s="46">
        <v>27686</v>
      </c>
      <c r="D326" s="46">
        <v>65060</v>
      </c>
      <c r="E326" s="46">
        <v>57806</v>
      </c>
      <c r="F326">
        <v>-57.44</v>
      </c>
      <c r="G326">
        <v>-52.1</v>
      </c>
      <c r="H326" s="46">
        <v>545413</v>
      </c>
      <c r="I326" s="46">
        <v>811297</v>
      </c>
      <c r="J326">
        <v>-32.770000000000003</v>
      </c>
      <c r="K326">
        <v>0</v>
      </c>
    </row>
    <row r="327" spans="1:11" customFormat="1" hidden="1">
      <c r="A327">
        <v>5245</v>
      </c>
      <c r="B327" t="s">
        <v>413</v>
      </c>
      <c r="C327" s="46">
        <v>134105</v>
      </c>
      <c r="D327" s="46">
        <v>132101</v>
      </c>
      <c r="E327" s="46">
        <v>82928</v>
      </c>
      <c r="F327">
        <v>1.51</v>
      </c>
      <c r="G327">
        <v>61.71</v>
      </c>
      <c r="H327" s="46">
        <v>996694</v>
      </c>
      <c r="I327" s="46">
        <v>796624</v>
      </c>
      <c r="J327">
        <v>25.11</v>
      </c>
      <c r="K327">
        <v>1</v>
      </c>
    </row>
    <row r="328" spans="1:11" customFormat="1" hidden="1">
      <c r="A328">
        <v>5230</v>
      </c>
      <c r="B328" t="s">
        <v>412</v>
      </c>
      <c r="C328" s="46">
        <v>123991</v>
      </c>
      <c r="D328" s="46">
        <v>125009</v>
      </c>
      <c r="E328" s="46">
        <v>105390</v>
      </c>
      <c r="F328">
        <v>-0.81</v>
      </c>
      <c r="G328">
        <v>17.64</v>
      </c>
      <c r="H328" s="46">
        <v>1193787</v>
      </c>
      <c r="I328" s="46">
        <v>1113402</v>
      </c>
      <c r="J328">
        <v>7.21</v>
      </c>
      <c r="K328">
        <v>0</v>
      </c>
    </row>
    <row r="329" spans="1:11" customFormat="1" hidden="1">
      <c r="A329">
        <v>5213</v>
      </c>
      <c r="B329" t="s">
        <v>2276</v>
      </c>
      <c r="C329" s="46">
        <v>6602</v>
      </c>
      <c r="D329" s="46">
        <v>6763</v>
      </c>
      <c r="E329" s="46">
        <v>1573</v>
      </c>
      <c r="F329">
        <v>-2.38</v>
      </c>
      <c r="G329">
        <v>319.7</v>
      </c>
      <c r="H329" s="46">
        <v>2603410</v>
      </c>
      <c r="I329" s="46">
        <v>808379</v>
      </c>
      <c r="J329">
        <v>222.05</v>
      </c>
      <c r="K329" s="286">
        <v>0</v>
      </c>
    </row>
    <row r="330" spans="1:11" customFormat="1" hidden="1">
      <c r="A330">
        <v>5212</v>
      </c>
      <c r="B330" t="s">
        <v>2258</v>
      </c>
      <c r="C330" s="46">
        <v>59442</v>
      </c>
      <c r="D330" s="46">
        <v>60276</v>
      </c>
      <c r="E330" s="46">
        <v>50557</v>
      </c>
      <c r="F330">
        <v>-1.38</v>
      </c>
      <c r="G330">
        <v>17.57</v>
      </c>
      <c r="H330" s="46">
        <v>479268</v>
      </c>
      <c r="I330" s="46">
        <v>434868</v>
      </c>
      <c r="J330">
        <v>10.199999999999999</v>
      </c>
      <c r="K330" s="286">
        <v>1</v>
      </c>
    </row>
    <row r="331" spans="1:11" customFormat="1" hidden="1">
      <c r="A331">
        <v>5211</v>
      </c>
      <c r="B331" t="s">
        <v>411</v>
      </c>
      <c r="C331" s="46">
        <v>21560</v>
      </c>
      <c r="D331" s="46">
        <v>21312</v>
      </c>
      <c r="E331" s="46">
        <v>23243</v>
      </c>
      <c r="F331">
        <v>1.1599999999999999</v>
      </c>
      <c r="G331">
        <v>-7.24</v>
      </c>
      <c r="H331" s="46">
        <v>220917</v>
      </c>
      <c r="I331" s="46">
        <v>255773</v>
      </c>
      <c r="J331">
        <v>-13.62</v>
      </c>
      <c r="K331" s="286">
        <v>0</v>
      </c>
    </row>
    <row r="332" spans="1:11" customFormat="1" hidden="1">
      <c r="A332">
        <v>5210</v>
      </c>
      <c r="B332" t="s">
        <v>410</v>
      </c>
      <c r="C332" s="46">
        <v>26851</v>
      </c>
      <c r="D332" s="46">
        <v>20864</v>
      </c>
      <c r="E332" s="46">
        <v>26782</v>
      </c>
      <c r="F332">
        <v>28.69</v>
      </c>
      <c r="G332">
        <v>0.25</v>
      </c>
      <c r="H332" s="46">
        <v>253625</v>
      </c>
      <c r="I332" s="46">
        <v>273649</v>
      </c>
      <c r="J332">
        <v>-7.31</v>
      </c>
      <c r="K332" s="286">
        <v>1</v>
      </c>
    </row>
    <row r="333" spans="1:11" customFormat="1" hidden="1">
      <c r="A333">
        <v>5209</v>
      </c>
      <c r="B333" t="s">
        <v>2257</v>
      </c>
      <c r="C333" s="46">
        <v>113255</v>
      </c>
      <c r="D333" s="46">
        <v>128663</v>
      </c>
      <c r="E333" s="46">
        <v>128053</v>
      </c>
      <c r="F333">
        <v>-11.97</v>
      </c>
      <c r="G333">
        <v>-11.55</v>
      </c>
      <c r="H333" s="46">
        <v>1186889</v>
      </c>
      <c r="I333" s="46">
        <v>1003246</v>
      </c>
      <c r="J333">
        <v>18.3</v>
      </c>
      <c r="K333" s="286">
        <v>0</v>
      </c>
    </row>
    <row r="334" spans="1:11" customFormat="1">
      <c r="A334" s="62" t="str">
        <f>HYPERLINK("http://tw.stock.yahoo.com/q/ta?s=3687","3687")</f>
        <v>3687</v>
      </c>
      <c r="B334" s="62" t="str">
        <f>HYPERLINK("http://tw.stock.yahoo.com/d/s/earning_3687.html","歐買尬")</f>
        <v>歐買尬</v>
      </c>
      <c r="C334" s="46">
        <v>66204</v>
      </c>
      <c r="D334" s="46">
        <v>61504</v>
      </c>
      <c r="E334" s="46">
        <v>29212</v>
      </c>
      <c r="F334">
        <v>7.64</v>
      </c>
      <c r="G334">
        <v>126.63</v>
      </c>
      <c r="H334" s="46">
        <v>611266</v>
      </c>
      <c r="I334" s="46">
        <v>300381</v>
      </c>
      <c r="J334">
        <v>103.49</v>
      </c>
      <c r="K334" s="286">
        <v>1</v>
      </c>
    </row>
    <row r="335" spans="1:11" customFormat="1" hidden="1">
      <c r="A335">
        <v>5205</v>
      </c>
      <c r="B335" t="s">
        <v>2270</v>
      </c>
      <c r="C335" s="46">
        <v>54</v>
      </c>
      <c r="D335" s="46">
        <v>12</v>
      </c>
      <c r="E335" s="46">
        <v>45</v>
      </c>
      <c r="F335">
        <v>350</v>
      </c>
      <c r="G335">
        <v>20</v>
      </c>
      <c r="H335" s="46">
        <v>1968</v>
      </c>
      <c r="I335" s="46">
        <v>6427</v>
      </c>
      <c r="J335">
        <v>-69.37</v>
      </c>
      <c r="K335">
        <v>0</v>
      </c>
    </row>
    <row r="336" spans="1:11" customFormat="1" hidden="1">
      <c r="A336">
        <v>5202</v>
      </c>
      <c r="B336" t="s">
        <v>2256</v>
      </c>
      <c r="C336" s="46">
        <v>25889</v>
      </c>
      <c r="D336" s="46">
        <v>26452</v>
      </c>
      <c r="E336" s="46">
        <v>23742</v>
      </c>
      <c r="F336">
        <v>-2.12</v>
      </c>
      <c r="G336">
        <v>9.0399999999999991</v>
      </c>
      <c r="H336" s="46">
        <v>232614</v>
      </c>
      <c r="I336" s="46">
        <v>218248</v>
      </c>
      <c r="J336">
        <v>6.58</v>
      </c>
      <c r="K336">
        <v>1</v>
      </c>
    </row>
    <row r="337" spans="1:11" customFormat="1" hidden="1">
      <c r="A337">
        <v>5201</v>
      </c>
      <c r="B337" t="s">
        <v>2255</v>
      </c>
      <c r="C337" s="46">
        <v>24731</v>
      </c>
      <c r="D337" s="46">
        <v>24593</v>
      </c>
      <c r="E337" s="46">
        <v>17739</v>
      </c>
      <c r="F337">
        <v>0.56000000000000005</v>
      </c>
      <c r="G337">
        <v>39.409999999999997</v>
      </c>
      <c r="H337" s="46">
        <v>213939</v>
      </c>
      <c r="I337" s="46">
        <v>210224</v>
      </c>
      <c r="J337">
        <v>1.76</v>
      </c>
      <c r="K337">
        <v>1</v>
      </c>
    </row>
    <row r="338" spans="1:11" customFormat="1" hidden="1">
      <c r="A338">
        <v>5102</v>
      </c>
      <c r="B338" t="s">
        <v>408</v>
      </c>
      <c r="C338" s="46">
        <v>52723</v>
      </c>
      <c r="D338" s="46">
        <v>58794</v>
      </c>
      <c r="E338" s="46">
        <v>90305</v>
      </c>
      <c r="F338">
        <v>-10.32</v>
      </c>
      <c r="G338">
        <v>-41.61</v>
      </c>
      <c r="H338" s="46">
        <v>585515</v>
      </c>
      <c r="I338" s="46">
        <v>801429</v>
      </c>
      <c r="J338">
        <v>-26.94</v>
      </c>
      <c r="K338">
        <v>0</v>
      </c>
    </row>
    <row r="339" spans="1:11" customFormat="1" hidden="1">
      <c r="A339">
        <v>5016</v>
      </c>
      <c r="B339" t="s">
        <v>2177</v>
      </c>
      <c r="C339" s="46">
        <v>178282</v>
      </c>
      <c r="D339" s="46">
        <v>163998</v>
      </c>
      <c r="E339" s="46">
        <v>245435</v>
      </c>
      <c r="F339">
        <v>8.6999999999999993</v>
      </c>
      <c r="G339">
        <v>-27.36</v>
      </c>
      <c r="H339" s="46">
        <v>1871492</v>
      </c>
      <c r="I339" s="46">
        <v>2283149</v>
      </c>
      <c r="J339">
        <v>-18.03</v>
      </c>
      <c r="K339">
        <v>0</v>
      </c>
    </row>
    <row r="340" spans="1:11" customFormat="1" hidden="1">
      <c r="A340">
        <v>5015</v>
      </c>
      <c r="B340" t="s">
        <v>407</v>
      </c>
      <c r="C340" s="46">
        <v>218530</v>
      </c>
      <c r="D340" s="46">
        <v>206549</v>
      </c>
      <c r="E340" s="46">
        <v>214021</v>
      </c>
      <c r="F340">
        <v>5.8</v>
      </c>
      <c r="G340">
        <v>2.1</v>
      </c>
      <c r="H340" s="46">
        <v>1681482</v>
      </c>
      <c r="I340" s="46">
        <v>2277535</v>
      </c>
      <c r="J340">
        <v>-26.17</v>
      </c>
      <c r="K340">
        <v>1</v>
      </c>
    </row>
    <row r="341" spans="1:11" customFormat="1" hidden="1">
      <c r="A341">
        <v>5014</v>
      </c>
      <c r="B341" t="s">
        <v>2176</v>
      </c>
      <c r="C341" s="46">
        <v>1119652</v>
      </c>
      <c r="D341" s="46">
        <v>1409454</v>
      </c>
      <c r="E341" s="46">
        <v>928017</v>
      </c>
      <c r="F341">
        <v>-20.56</v>
      </c>
      <c r="G341">
        <v>20.64</v>
      </c>
      <c r="H341" s="46">
        <v>11858523</v>
      </c>
      <c r="I341" s="46">
        <v>10740906</v>
      </c>
      <c r="J341">
        <v>10.4</v>
      </c>
      <c r="K341" s="286">
        <v>0</v>
      </c>
    </row>
    <row r="342" spans="1:11" customFormat="1" hidden="1">
      <c r="A342">
        <v>5013</v>
      </c>
      <c r="B342" t="s">
        <v>2004</v>
      </c>
      <c r="C342" s="46">
        <v>459552</v>
      </c>
      <c r="D342" s="46">
        <v>388589</v>
      </c>
      <c r="E342" s="46">
        <v>533311</v>
      </c>
      <c r="F342">
        <v>18.260000000000002</v>
      </c>
      <c r="G342">
        <v>-13.83</v>
      </c>
      <c r="H342" s="46">
        <v>4208529</v>
      </c>
      <c r="I342" s="46">
        <v>4572447</v>
      </c>
      <c r="J342">
        <v>-7.95</v>
      </c>
      <c r="K342">
        <v>1</v>
      </c>
    </row>
    <row r="343" spans="1:11" customFormat="1" hidden="1">
      <c r="A343">
        <v>5011</v>
      </c>
      <c r="B343" t="s">
        <v>406</v>
      </c>
      <c r="C343" s="46">
        <v>94870</v>
      </c>
      <c r="D343" s="46">
        <v>89503</v>
      </c>
      <c r="E343" s="46">
        <v>86717</v>
      </c>
      <c r="F343">
        <v>5.99</v>
      </c>
      <c r="G343">
        <v>9.4</v>
      </c>
      <c r="H343" s="46">
        <v>808034</v>
      </c>
      <c r="I343" s="46">
        <v>866579</v>
      </c>
      <c r="J343">
        <v>-6.75</v>
      </c>
      <c r="K343" s="286">
        <v>1</v>
      </c>
    </row>
    <row r="344" spans="1:11" customFormat="1" hidden="1">
      <c r="A344">
        <v>5009</v>
      </c>
      <c r="B344" t="s">
        <v>405</v>
      </c>
      <c r="C344" s="46">
        <v>737489</v>
      </c>
      <c r="D344" s="46">
        <v>798444</v>
      </c>
      <c r="E344" s="46">
        <v>1011552</v>
      </c>
      <c r="F344">
        <v>-7.63</v>
      </c>
      <c r="G344">
        <v>-27.09</v>
      </c>
      <c r="H344" s="46">
        <v>9433129</v>
      </c>
      <c r="I344" s="46">
        <v>10137007</v>
      </c>
      <c r="J344">
        <v>-6.94</v>
      </c>
      <c r="K344" s="286">
        <v>0</v>
      </c>
    </row>
    <row r="345" spans="1:11" customFormat="1" hidden="1">
      <c r="A345">
        <v>4995</v>
      </c>
      <c r="B345" t="s">
        <v>2042</v>
      </c>
      <c r="C345" s="46">
        <v>70829</v>
      </c>
      <c r="D345" s="46">
        <v>60001</v>
      </c>
      <c r="E345" s="46">
        <v>85019</v>
      </c>
      <c r="F345">
        <v>18.04</v>
      </c>
      <c r="G345">
        <v>-16.690000000000001</v>
      </c>
      <c r="H345" s="46">
        <v>700415</v>
      </c>
      <c r="I345" s="46">
        <v>724384</v>
      </c>
      <c r="J345">
        <v>-3.3</v>
      </c>
      <c r="K345">
        <v>0</v>
      </c>
    </row>
    <row r="346" spans="1:11" customFormat="1" hidden="1">
      <c r="A346">
        <v>4987</v>
      </c>
      <c r="B346" t="s">
        <v>1638</v>
      </c>
      <c r="C346" s="46">
        <v>92326</v>
      </c>
      <c r="D346" s="46">
        <v>89691</v>
      </c>
      <c r="E346" s="46">
        <v>113803</v>
      </c>
      <c r="F346">
        <v>2.93</v>
      </c>
      <c r="G346">
        <v>-18.87</v>
      </c>
      <c r="H346" s="46">
        <v>944590</v>
      </c>
      <c r="I346" s="46">
        <v>1032825</v>
      </c>
      <c r="J346">
        <v>-8.5399999999999991</v>
      </c>
      <c r="K346">
        <v>0</v>
      </c>
    </row>
    <row r="347" spans="1:11" customFormat="1">
      <c r="A347" s="62" t="str">
        <f>HYPERLINK("http://tw.stock.yahoo.com/q/ta?s=3234","3234")</f>
        <v>3234</v>
      </c>
      <c r="B347" s="62" t="str">
        <f>HYPERLINK("http://tw.stock.yahoo.com/d/s/earning_3234.html","光環")</f>
        <v>光環</v>
      </c>
      <c r="C347" s="46">
        <v>545445</v>
      </c>
      <c r="D347" s="46">
        <v>449009</v>
      </c>
      <c r="E347" s="46">
        <v>220971</v>
      </c>
      <c r="F347">
        <v>21.47</v>
      </c>
      <c r="G347">
        <v>146.84</v>
      </c>
      <c r="H347" s="46">
        <v>3501007</v>
      </c>
      <c r="I347" s="46">
        <v>1896455</v>
      </c>
      <c r="J347">
        <v>84.6</v>
      </c>
      <c r="K347">
        <v>1</v>
      </c>
    </row>
    <row r="348" spans="1:11" customFormat="1" hidden="1">
      <c r="A348">
        <v>4974</v>
      </c>
      <c r="B348" t="s">
        <v>403</v>
      </c>
      <c r="C348" s="46">
        <v>273381</v>
      </c>
      <c r="D348" s="46">
        <v>284655</v>
      </c>
      <c r="E348" s="46">
        <v>238203</v>
      </c>
      <c r="F348">
        <v>-3.96</v>
      </c>
      <c r="G348">
        <v>14.76</v>
      </c>
      <c r="H348" s="46">
        <v>3115227</v>
      </c>
      <c r="I348" s="46">
        <v>2798522</v>
      </c>
      <c r="J348">
        <v>11.31</v>
      </c>
      <c r="K348" s="286">
        <v>0</v>
      </c>
    </row>
    <row r="349" spans="1:11" customFormat="1" hidden="1">
      <c r="A349">
        <v>4973</v>
      </c>
      <c r="B349" t="s">
        <v>2013</v>
      </c>
      <c r="C349" s="46">
        <v>474781</v>
      </c>
      <c r="D349" s="46">
        <v>429559</v>
      </c>
      <c r="E349" s="46">
        <v>756517</v>
      </c>
      <c r="F349">
        <v>10.52</v>
      </c>
      <c r="G349">
        <v>-37.24</v>
      </c>
      <c r="H349" s="46">
        <v>4490955</v>
      </c>
      <c r="I349" s="46">
        <v>5935290</v>
      </c>
      <c r="J349">
        <v>-24.33</v>
      </c>
      <c r="K349">
        <v>1</v>
      </c>
    </row>
    <row r="350" spans="1:11" customFormat="1" hidden="1">
      <c r="A350">
        <v>4972</v>
      </c>
      <c r="B350" t="s">
        <v>2041</v>
      </c>
      <c r="C350" s="46">
        <v>95696</v>
      </c>
      <c r="D350" s="46">
        <v>122344</v>
      </c>
      <c r="E350" s="46">
        <v>102590</v>
      </c>
      <c r="F350">
        <v>-21.78</v>
      </c>
      <c r="G350">
        <v>-6.71</v>
      </c>
      <c r="H350" s="46">
        <v>1088497</v>
      </c>
      <c r="I350" s="46">
        <v>965255</v>
      </c>
      <c r="J350">
        <v>12.76</v>
      </c>
      <c r="K350">
        <v>0</v>
      </c>
    </row>
    <row r="351" spans="1:11" customFormat="1">
      <c r="A351" s="62" t="str">
        <f>HYPERLINK("http://tw.stock.yahoo.com/q/ta?s=4502","4502")</f>
        <v>4502</v>
      </c>
      <c r="B351" s="62" t="str">
        <f>HYPERLINK("http://tw.stock.yahoo.com/d/s/earning_4502.html","健信科技")</f>
        <v>健信科技</v>
      </c>
      <c r="C351" s="46">
        <v>204541</v>
      </c>
      <c r="D351" s="46">
        <v>161949</v>
      </c>
      <c r="E351" s="46">
        <v>74227</v>
      </c>
      <c r="F351">
        <v>26.29</v>
      </c>
      <c r="G351">
        <v>175.56</v>
      </c>
      <c r="H351" s="46">
        <v>1243334</v>
      </c>
      <c r="I351" s="46">
        <v>712109</v>
      </c>
      <c r="J351">
        <v>74.59</v>
      </c>
      <c r="K351">
        <v>1</v>
      </c>
    </row>
    <row r="352" spans="1:11" customFormat="1" hidden="1">
      <c r="A352">
        <v>4953</v>
      </c>
      <c r="B352" t="s">
        <v>2254</v>
      </c>
      <c r="C352" s="46">
        <v>202096</v>
      </c>
      <c r="D352" s="46">
        <v>212122</v>
      </c>
      <c r="E352" s="46">
        <v>247103</v>
      </c>
      <c r="F352">
        <v>-4.72</v>
      </c>
      <c r="G352">
        <v>-18.21</v>
      </c>
      <c r="H352" s="46">
        <v>2096691</v>
      </c>
      <c r="I352" s="46">
        <v>2035379</v>
      </c>
      <c r="J352">
        <v>3.01</v>
      </c>
      <c r="K352" s="286">
        <v>0</v>
      </c>
    </row>
    <row r="353" spans="1:11" customFormat="1" hidden="1">
      <c r="A353">
        <v>4950</v>
      </c>
      <c r="B353" t="s">
        <v>401</v>
      </c>
      <c r="C353" s="46">
        <v>35907</v>
      </c>
      <c r="D353" s="46">
        <v>44997</v>
      </c>
      <c r="E353" s="46">
        <v>53833</v>
      </c>
      <c r="F353">
        <v>-20.2</v>
      </c>
      <c r="G353">
        <v>-33.29</v>
      </c>
      <c r="H353" s="46">
        <v>286880</v>
      </c>
      <c r="I353" s="46">
        <v>370186</v>
      </c>
      <c r="J353">
        <v>-22.5</v>
      </c>
      <c r="K353">
        <v>1</v>
      </c>
    </row>
    <row r="354" spans="1:11" customFormat="1" hidden="1">
      <c r="A354">
        <v>4946</v>
      </c>
      <c r="B354" t="s">
        <v>2293</v>
      </c>
      <c r="C354" s="46">
        <v>27986</v>
      </c>
      <c r="D354" s="46">
        <v>31940</v>
      </c>
      <c r="E354" s="46">
        <v>56771</v>
      </c>
      <c r="F354">
        <v>-12.37</v>
      </c>
      <c r="G354">
        <v>-50.7</v>
      </c>
      <c r="H354" s="46">
        <v>398439</v>
      </c>
      <c r="I354" s="46">
        <v>732179</v>
      </c>
      <c r="J354">
        <v>-45.58</v>
      </c>
      <c r="K354" s="286">
        <v>0</v>
      </c>
    </row>
    <row r="355" spans="1:11" customFormat="1" hidden="1">
      <c r="A355">
        <v>4944</v>
      </c>
      <c r="B355" t="s">
        <v>2211</v>
      </c>
      <c r="C355" s="46">
        <v>143953</v>
      </c>
      <c r="D355" s="46">
        <v>150072</v>
      </c>
      <c r="E355" s="46">
        <v>170675</v>
      </c>
      <c r="F355">
        <v>-4.07</v>
      </c>
      <c r="G355">
        <v>-15.65</v>
      </c>
      <c r="H355" s="46">
        <v>1913174</v>
      </c>
      <c r="I355" s="46">
        <v>2220360</v>
      </c>
      <c r="J355">
        <v>-13.83</v>
      </c>
      <c r="K355">
        <v>0</v>
      </c>
    </row>
    <row r="356" spans="1:11" customFormat="1" hidden="1">
      <c r="A356">
        <v>4939</v>
      </c>
      <c r="B356" t="s">
        <v>400</v>
      </c>
      <c r="C356" s="46">
        <v>123015</v>
      </c>
      <c r="D356" s="46">
        <v>163098</v>
      </c>
      <c r="E356" s="46">
        <v>172296</v>
      </c>
      <c r="F356">
        <v>-24.57</v>
      </c>
      <c r="G356">
        <v>-28.6</v>
      </c>
      <c r="H356" s="46">
        <v>1297406</v>
      </c>
      <c r="I356" s="46">
        <v>1624339</v>
      </c>
      <c r="J356">
        <v>-20.12</v>
      </c>
      <c r="K356" s="286">
        <v>0</v>
      </c>
    </row>
    <row r="357" spans="1:11" customFormat="1" hidden="1">
      <c r="A357">
        <v>4933</v>
      </c>
      <c r="B357" t="s">
        <v>399</v>
      </c>
      <c r="C357" s="46">
        <v>363558</v>
      </c>
      <c r="D357" s="46">
        <v>360488</v>
      </c>
      <c r="E357" s="46">
        <v>341960</v>
      </c>
      <c r="F357">
        <v>0.85</v>
      </c>
      <c r="G357">
        <v>6.31</v>
      </c>
      <c r="H357" s="46">
        <v>3385465</v>
      </c>
      <c r="I357" s="46">
        <v>3128734</v>
      </c>
      <c r="J357">
        <v>8.1999999999999993</v>
      </c>
      <c r="K357">
        <v>1</v>
      </c>
    </row>
    <row r="358" spans="1:11" customFormat="1" hidden="1">
      <c r="A358">
        <v>4911</v>
      </c>
      <c r="B358" t="s">
        <v>398</v>
      </c>
      <c r="C358" s="46">
        <v>8101</v>
      </c>
      <c r="D358" s="46">
        <v>4796</v>
      </c>
      <c r="E358" s="46">
        <v>9730</v>
      </c>
      <c r="F358">
        <v>68.91</v>
      </c>
      <c r="G358">
        <v>-16.739999999999998</v>
      </c>
      <c r="H358" s="46">
        <v>35123</v>
      </c>
      <c r="I358" s="46">
        <v>63966</v>
      </c>
      <c r="J358">
        <v>-45.09</v>
      </c>
      <c r="K358">
        <v>1</v>
      </c>
    </row>
    <row r="359" spans="1:11" customFormat="1" hidden="1">
      <c r="A359">
        <v>4909</v>
      </c>
      <c r="B359" t="s">
        <v>397</v>
      </c>
      <c r="C359" s="46">
        <v>143080</v>
      </c>
      <c r="D359" s="46">
        <v>135995</v>
      </c>
      <c r="E359" s="46">
        <v>137740</v>
      </c>
      <c r="F359">
        <v>5.2</v>
      </c>
      <c r="G359">
        <v>3.87</v>
      </c>
      <c r="H359" s="46">
        <v>1277203</v>
      </c>
      <c r="I359" s="46">
        <v>1453976</v>
      </c>
      <c r="J359">
        <v>-12.15</v>
      </c>
      <c r="K359">
        <v>1</v>
      </c>
    </row>
    <row r="360" spans="1:11" customFormat="1" hidden="1">
      <c r="A360">
        <v>4908</v>
      </c>
      <c r="B360" t="s">
        <v>2051</v>
      </c>
      <c r="C360" s="46">
        <v>103517</v>
      </c>
      <c r="D360" s="46">
        <v>89983</v>
      </c>
      <c r="E360" s="46">
        <v>114448</v>
      </c>
      <c r="F360">
        <v>15.04</v>
      </c>
      <c r="G360">
        <v>-9.5500000000000007</v>
      </c>
      <c r="H360" s="46">
        <v>844536</v>
      </c>
      <c r="I360" s="46">
        <v>1124824</v>
      </c>
      <c r="J360">
        <v>-24.91</v>
      </c>
      <c r="K360">
        <v>1</v>
      </c>
    </row>
    <row r="361" spans="1:11" customFormat="1" hidden="1">
      <c r="A361">
        <v>4907</v>
      </c>
      <c r="B361" t="s">
        <v>2111</v>
      </c>
      <c r="C361" s="46">
        <v>86</v>
      </c>
      <c r="D361" s="46">
        <v>161990</v>
      </c>
      <c r="E361" s="46">
        <v>10</v>
      </c>
      <c r="F361">
        <v>-99.94</v>
      </c>
      <c r="G361">
        <v>760</v>
      </c>
      <c r="H361" s="46">
        <v>314610</v>
      </c>
      <c r="I361" s="46">
        <v>67250</v>
      </c>
      <c r="J361">
        <v>367.82</v>
      </c>
      <c r="K361" s="286">
        <v>0</v>
      </c>
    </row>
    <row r="362" spans="1:11" customFormat="1" hidden="1">
      <c r="A362">
        <v>4905</v>
      </c>
      <c r="B362" t="s">
        <v>2220</v>
      </c>
      <c r="C362" s="46">
        <v>11674</v>
      </c>
      <c r="D362" s="46">
        <v>12183</v>
      </c>
      <c r="E362" s="46">
        <v>12966</v>
      </c>
      <c r="F362">
        <v>-4.17</v>
      </c>
      <c r="G362">
        <v>-9.9600000000000009</v>
      </c>
      <c r="H362" s="46">
        <v>96188</v>
      </c>
      <c r="I362" s="46">
        <v>133684</v>
      </c>
      <c r="J362">
        <v>-28.04</v>
      </c>
      <c r="K362">
        <v>1</v>
      </c>
    </row>
    <row r="363" spans="1:11" customFormat="1" hidden="1">
      <c r="A363">
        <v>4903</v>
      </c>
      <c r="B363" t="s">
        <v>2219</v>
      </c>
      <c r="C363" s="46">
        <v>84054</v>
      </c>
      <c r="D363" s="46">
        <v>161398</v>
      </c>
      <c r="E363" s="46">
        <v>150195</v>
      </c>
      <c r="F363">
        <v>-47.92</v>
      </c>
      <c r="G363">
        <v>-44.03</v>
      </c>
      <c r="H363" s="46">
        <v>1299424</v>
      </c>
      <c r="I363" s="46">
        <v>1295449</v>
      </c>
      <c r="J363">
        <v>0.3</v>
      </c>
      <c r="K363">
        <v>0</v>
      </c>
    </row>
    <row r="364" spans="1:11" customFormat="1" hidden="1">
      <c r="A364">
        <v>4747</v>
      </c>
      <c r="B364" t="s">
        <v>2001</v>
      </c>
      <c r="C364" s="46">
        <v>31224</v>
      </c>
      <c r="D364" s="46">
        <v>28410</v>
      </c>
      <c r="E364" s="46">
        <v>30725</v>
      </c>
      <c r="F364">
        <v>9.9</v>
      </c>
      <c r="G364">
        <v>1.62</v>
      </c>
      <c r="H364" s="46">
        <v>308429</v>
      </c>
      <c r="I364" s="46">
        <v>304294</v>
      </c>
      <c r="J364">
        <v>1.35</v>
      </c>
      <c r="K364">
        <v>0</v>
      </c>
    </row>
    <row r="365" spans="1:11" customFormat="1" hidden="1">
      <c r="A365">
        <v>4743</v>
      </c>
      <c r="B365" t="s">
        <v>2000</v>
      </c>
      <c r="C365" s="46">
        <v>940</v>
      </c>
      <c r="D365" s="46">
        <v>652</v>
      </c>
      <c r="E365" s="46">
        <v>0</v>
      </c>
      <c r="F365">
        <v>44.17</v>
      </c>
      <c r="H365" s="46">
        <v>7542</v>
      </c>
      <c r="I365" s="46">
        <v>4607</v>
      </c>
      <c r="J365">
        <v>63.7</v>
      </c>
      <c r="K365" s="286">
        <v>1</v>
      </c>
    </row>
    <row r="366" spans="1:11" customFormat="1">
      <c r="A366" s="62" t="str">
        <f>HYPERLINK("http://tw.stock.yahoo.com/q/ta?s=8091","8091")</f>
        <v>8091</v>
      </c>
      <c r="B366" s="62" t="str">
        <f>HYPERLINK("http://tw.stock.yahoo.com/d/s/earning_8091.html","翔名科技")</f>
        <v>翔名科技</v>
      </c>
      <c r="C366" s="46">
        <v>227635</v>
      </c>
      <c r="D366" s="46">
        <v>176026</v>
      </c>
      <c r="E366" s="46">
        <v>130109</v>
      </c>
      <c r="F366">
        <v>29.31</v>
      </c>
      <c r="G366">
        <v>74.95</v>
      </c>
      <c r="H366" s="46">
        <v>1834478</v>
      </c>
      <c r="I366" s="46">
        <v>1083408</v>
      </c>
      <c r="J366">
        <v>69.319999999999993</v>
      </c>
      <c r="K366">
        <v>1</v>
      </c>
    </row>
    <row r="367" spans="1:11" customFormat="1" hidden="1">
      <c r="A367">
        <v>4736</v>
      </c>
      <c r="B367" t="s">
        <v>396</v>
      </c>
      <c r="C367" s="46">
        <v>232149</v>
      </c>
      <c r="D367" s="46">
        <v>241840</v>
      </c>
      <c r="E367" s="46">
        <v>202321</v>
      </c>
      <c r="F367">
        <v>-4</v>
      </c>
      <c r="G367">
        <v>14.74</v>
      </c>
      <c r="H367" s="46">
        <v>2179895</v>
      </c>
      <c r="I367" s="46">
        <v>2055608</v>
      </c>
      <c r="J367">
        <v>6.04</v>
      </c>
      <c r="K367" s="286">
        <v>1</v>
      </c>
    </row>
    <row r="368" spans="1:11" customFormat="1" hidden="1">
      <c r="A368">
        <v>4735</v>
      </c>
      <c r="B368" t="s">
        <v>1999</v>
      </c>
      <c r="C368" s="46">
        <v>91629</v>
      </c>
      <c r="D368" s="46">
        <v>90902</v>
      </c>
      <c r="E368" s="46">
        <v>60049</v>
      </c>
      <c r="F368">
        <v>0.79</v>
      </c>
      <c r="G368">
        <v>52.59</v>
      </c>
      <c r="H368" s="46">
        <v>812053</v>
      </c>
      <c r="I368" s="46">
        <v>572166</v>
      </c>
      <c r="J368">
        <v>41.92</v>
      </c>
      <c r="K368">
        <v>1</v>
      </c>
    </row>
    <row r="369" spans="1:11" customFormat="1" hidden="1">
      <c r="A369">
        <v>4729</v>
      </c>
      <c r="B369" t="s">
        <v>395</v>
      </c>
      <c r="C369" s="46">
        <v>223989</v>
      </c>
      <c r="D369" s="46">
        <v>235693</v>
      </c>
      <c r="E369" s="46">
        <v>643077</v>
      </c>
      <c r="F369">
        <v>-4.96</v>
      </c>
      <c r="G369">
        <v>-65.16</v>
      </c>
      <c r="H369" s="46">
        <v>4449694</v>
      </c>
      <c r="I369" s="46">
        <v>6203775</v>
      </c>
      <c r="J369">
        <v>-28.27</v>
      </c>
      <c r="K369">
        <v>0</v>
      </c>
    </row>
    <row r="370" spans="1:11" customFormat="1" hidden="1">
      <c r="A370">
        <v>4728</v>
      </c>
      <c r="B370" t="s">
        <v>394</v>
      </c>
      <c r="C370" s="46">
        <v>3131</v>
      </c>
      <c r="D370" s="46">
        <v>14684</v>
      </c>
      <c r="E370" s="46">
        <v>15882</v>
      </c>
      <c r="F370">
        <v>-78.67</v>
      </c>
      <c r="G370">
        <v>-80.28</v>
      </c>
      <c r="H370" s="46">
        <v>99275</v>
      </c>
      <c r="I370" s="46">
        <v>143551</v>
      </c>
      <c r="J370">
        <v>-30.84</v>
      </c>
      <c r="K370" s="286">
        <v>0</v>
      </c>
    </row>
    <row r="371" spans="1:11" customFormat="1" hidden="1">
      <c r="A371">
        <v>4726</v>
      </c>
      <c r="B371" t="s">
        <v>1998</v>
      </c>
      <c r="C371" s="46">
        <v>10739</v>
      </c>
      <c r="D371" s="46">
        <v>39863</v>
      </c>
      <c r="E371" s="46">
        <v>3907</v>
      </c>
      <c r="F371">
        <v>-73.06</v>
      </c>
      <c r="G371">
        <v>174.86</v>
      </c>
      <c r="H371" s="46">
        <v>87932</v>
      </c>
      <c r="I371" s="46">
        <v>64596</v>
      </c>
      <c r="J371">
        <v>36.119999999999997</v>
      </c>
      <c r="K371" s="286">
        <v>1</v>
      </c>
    </row>
    <row r="372" spans="1:11" customFormat="1" hidden="1">
      <c r="A372">
        <v>4721</v>
      </c>
      <c r="B372" t="s">
        <v>393</v>
      </c>
      <c r="C372" s="46">
        <v>200255</v>
      </c>
      <c r="D372" s="46">
        <v>155545</v>
      </c>
      <c r="E372" s="46">
        <v>270723</v>
      </c>
      <c r="F372">
        <v>28.74</v>
      </c>
      <c r="G372">
        <v>-26.02</v>
      </c>
      <c r="H372" s="46">
        <v>1733882</v>
      </c>
      <c r="I372" s="46">
        <v>2306539</v>
      </c>
      <c r="J372">
        <v>-24.82</v>
      </c>
      <c r="K372">
        <v>1</v>
      </c>
    </row>
    <row r="373" spans="1:11" customFormat="1" hidden="1">
      <c r="A373">
        <v>4716</v>
      </c>
      <c r="B373" t="s">
        <v>2167</v>
      </c>
      <c r="C373" s="46">
        <v>96706</v>
      </c>
      <c r="D373" s="46">
        <v>88867</v>
      </c>
      <c r="E373" s="46">
        <v>112765</v>
      </c>
      <c r="F373">
        <v>8.82</v>
      </c>
      <c r="G373">
        <v>-14.24</v>
      </c>
      <c r="H373" s="46">
        <v>910775</v>
      </c>
      <c r="I373" s="46">
        <v>1069170</v>
      </c>
      <c r="J373">
        <v>-14.81</v>
      </c>
      <c r="K373" s="286">
        <v>1</v>
      </c>
    </row>
    <row r="374" spans="1:11" customFormat="1" hidden="1">
      <c r="A374">
        <v>4714</v>
      </c>
      <c r="B374" t="s">
        <v>392</v>
      </c>
      <c r="C374" s="46">
        <v>44925</v>
      </c>
      <c r="D374" s="46">
        <v>53442</v>
      </c>
      <c r="E374" s="46">
        <v>46371</v>
      </c>
      <c r="F374">
        <v>-15.93</v>
      </c>
      <c r="G374">
        <v>-3.11</v>
      </c>
      <c r="H374" s="46">
        <v>666231</v>
      </c>
      <c r="I374" s="46">
        <v>605133</v>
      </c>
      <c r="J374">
        <v>10.09</v>
      </c>
      <c r="K374">
        <v>0</v>
      </c>
    </row>
    <row r="375" spans="1:11" customFormat="1" hidden="1">
      <c r="A375">
        <v>4712</v>
      </c>
      <c r="B375" t="s">
        <v>391</v>
      </c>
      <c r="C375" s="46">
        <v>61362</v>
      </c>
      <c r="D375" s="46">
        <v>70778</v>
      </c>
      <c r="E375" s="46">
        <v>125692</v>
      </c>
      <c r="F375">
        <v>-13.3</v>
      </c>
      <c r="G375">
        <v>-51.18</v>
      </c>
      <c r="H375" s="46">
        <v>931260</v>
      </c>
      <c r="I375" s="46">
        <v>1542163</v>
      </c>
      <c r="J375">
        <v>-39.61</v>
      </c>
      <c r="K375">
        <v>0</v>
      </c>
    </row>
    <row r="376" spans="1:11" customFormat="1" hidden="1">
      <c r="A376">
        <v>4711</v>
      </c>
      <c r="B376" t="s">
        <v>1982</v>
      </c>
      <c r="C376" s="46">
        <v>93580</v>
      </c>
      <c r="D376" s="46">
        <v>91312</v>
      </c>
      <c r="E376" s="46">
        <v>140034</v>
      </c>
      <c r="F376">
        <v>2.48</v>
      </c>
      <c r="G376">
        <v>-33.17</v>
      </c>
      <c r="H376" s="46">
        <v>1007543</v>
      </c>
      <c r="I376" s="46">
        <v>1234455</v>
      </c>
      <c r="J376">
        <v>-18.38</v>
      </c>
      <c r="K376">
        <v>0</v>
      </c>
    </row>
    <row r="377" spans="1:11" customFormat="1" hidden="1">
      <c r="A377">
        <v>4707</v>
      </c>
      <c r="B377" t="s">
        <v>390</v>
      </c>
      <c r="C377" s="46">
        <v>138790</v>
      </c>
      <c r="D377" s="46">
        <v>172638</v>
      </c>
      <c r="E377" s="46">
        <v>115661</v>
      </c>
      <c r="F377">
        <v>-19.600000000000001</v>
      </c>
      <c r="G377">
        <v>19.989999999999998</v>
      </c>
      <c r="H377" s="46">
        <v>1721779</v>
      </c>
      <c r="I377" s="46">
        <v>1893464</v>
      </c>
      <c r="J377">
        <v>-9.06</v>
      </c>
      <c r="K377" s="286">
        <v>0</v>
      </c>
    </row>
    <row r="378" spans="1:11" customFormat="1" hidden="1">
      <c r="A378">
        <v>4706</v>
      </c>
      <c r="B378" t="s">
        <v>2140</v>
      </c>
      <c r="C378" s="46">
        <v>133158</v>
      </c>
      <c r="D378" s="46">
        <v>133384</v>
      </c>
      <c r="E378" s="46">
        <v>131175</v>
      </c>
      <c r="F378">
        <v>-0.16</v>
      </c>
      <c r="G378">
        <v>1.51</v>
      </c>
      <c r="H378" s="46">
        <v>1226352</v>
      </c>
      <c r="I378" s="46">
        <v>1285173</v>
      </c>
      <c r="J378">
        <v>-4.57</v>
      </c>
      <c r="K378">
        <v>1</v>
      </c>
    </row>
    <row r="379" spans="1:11" customFormat="1" hidden="1">
      <c r="A379">
        <v>4703</v>
      </c>
      <c r="B379" t="s">
        <v>2210</v>
      </c>
      <c r="C379" s="46">
        <v>1942</v>
      </c>
      <c r="D379" s="46">
        <v>20875</v>
      </c>
      <c r="E379" s="46">
        <v>262022</v>
      </c>
      <c r="F379">
        <v>-90.69</v>
      </c>
      <c r="G379">
        <v>-99.25</v>
      </c>
      <c r="H379" s="46">
        <v>1464662</v>
      </c>
      <c r="I379" s="46">
        <v>2232008</v>
      </c>
      <c r="J379">
        <v>-34.369999999999997</v>
      </c>
      <c r="K379">
        <v>0</v>
      </c>
    </row>
    <row r="380" spans="1:11" customFormat="1" hidden="1">
      <c r="A380">
        <v>4702</v>
      </c>
      <c r="B380" t="s">
        <v>389</v>
      </c>
      <c r="C380" s="46">
        <v>72575</v>
      </c>
      <c r="D380" s="46">
        <v>88368</v>
      </c>
      <c r="E380" s="46">
        <v>82828</v>
      </c>
      <c r="F380">
        <v>-17.87</v>
      </c>
      <c r="G380">
        <v>-12.37</v>
      </c>
      <c r="H380" s="46">
        <v>905539</v>
      </c>
      <c r="I380" s="46">
        <v>1042391</v>
      </c>
      <c r="J380">
        <v>-13.12</v>
      </c>
      <c r="K380">
        <v>0</v>
      </c>
    </row>
    <row r="381" spans="1:11" customFormat="1" hidden="1">
      <c r="A381">
        <v>4609</v>
      </c>
      <c r="B381" t="s">
        <v>2166</v>
      </c>
      <c r="C381" s="46">
        <v>165452</v>
      </c>
      <c r="D381" s="46">
        <v>205178</v>
      </c>
      <c r="E381" s="46">
        <v>124723</v>
      </c>
      <c r="F381">
        <v>-19.36</v>
      </c>
      <c r="G381">
        <v>32.65</v>
      </c>
      <c r="H381" s="46">
        <v>994935</v>
      </c>
      <c r="I381" s="46">
        <v>884747</v>
      </c>
      <c r="J381">
        <v>12.45</v>
      </c>
      <c r="K381">
        <v>1</v>
      </c>
    </row>
    <row r="382" spans="1:11" customFormat="1" hidden="1">
      <c r="A382">
        <v>4550</v>
      </c>
      <c r="B382" t="s">
        <v>388</v>
      </c>
      <c r="C382" s="46">
        <v>85788</v>
      </c>
      <c r="D382" s="46">
        <v>107073</v>
      </c>
      <c r="E382" s="46">
        <v>152259</v>
      </c>
      <c r="F382">
        <v>-19.87</v>
      </c>
      <c r="G382">
        <v>-43.65</v>
      </c>
      <c r="H382" s="46">
        <v>943780</v>
      </c>
      <c r="I382" s="46">
        <v>916906</v>
      </c>
      <c r="J382">
        <v>2.93</v>
      </c>
      <c r="K382">
        <v>0</v>
      </c>
    </row>
    <row r="383" spans="1:11" customFormat="1" hidden="1">
      <c r="A383">
        <v>4549</v>
      </c>
      <c r="B383" t="s">
        <v>387</v>
      </c>
      <c r="C383" s="46">
        <v>66585</v>
      </c>
      <c r="D383" s="46">
        <v>65192</v>
      </c>
      <c r="E383" s="46">
        <v>89671</v>
      </c>
      <c r="F383">
        <v>2.13</v>
      </c>
      <c r="G383">
        <v>-25.74</v>
      </c>
      <c r="H383" s="46">
        <v>685301</v>
      </c>
      <c r="I383" s="46">
        <v>752913</v>
      </c>
      <c r="J383">
        <v>-8.98</v>
      </c>
      <c r="K383">
        <v>0</v>
      </c>
    </row>
    <row r="384" spans="1:11" customFormat="1" hidden="1">
      <c r="A384">
        <v>4542</v>
      </c>
      <c r="B384" t="s">
        <v>386</v>
      </c>
      <c r="C384" s="46">
        <v>26249</v>
      </c>
      <c r="D384" s="46">
        <v>60602</v>
      </c>
      <c r="E384" s="46">
        <v>60086</v>
      </c>
      <c r="F384">
        <v>-56.68</v>
      </c>
      <c r="G384">
        <v>-56.31</v>
      </c>
      <c r="H384" s="46">
        <v>438680</v>
      </c>
      <c r="I384" s="46">
        <v>629595</v>
      </c>
      <c r="J384">
        <v>-30.32</v>
      </c>
      <c r="K384">
        <v>0</v>
      </c>
    </row>
    <row r="385" spans="1:11" customFormat="1" hidden="1">
      <c r="A385">
        <v>4541</v>
      </c>
      <c r="B385" t="s">
        <v>2127</v>
      </c>
      <c r="C385" s="46">
        <v>87238</v>
      </c>
      <c r="D385" s="46">
        <v>96113</v>
      </c>
      <c r="E385" s="46">
        <v>77255</v>
      </c>
      <c r="F385">
        <v>-9.23</v>
      </c>
      <c r="G385">
        <v>12.92</v>
      </c>
      <c r="H385" s="46">
        <v>860120</v>
      </c>
      <c r="I385" s="46">
        <v>852273</v>
      </c>
      <c r="J385">
        <v>0.92</v>
      </c>
      <c r="K385" s="286">
        <v>0</v>
      </c>
    </row>
    <row r="386" spans="1:11" customFormat="1" hidden="1">
      <c r="A386">
        <v>4535</v>
      </c>
      <c r="B386" t="s">
        <v>2164</v>
      </c>
      <c r="C386" s="46">
        <v>285753</v>
      </c>
      <c r="D386" s="46">
        <v>281534</v>
      </c>
      <c r="E386" s="46">
        <v>280793</v>
      </c>
      <c r="F386">
        <v>1.49</v>
      </c>
      <c r="G386">
        <v>1.76</v>
      </c>
      <c r="H386" s="46">
        <v>2788880</v>
      </c>
      <c r="I386" s="46">
        <v>2865202</v>
      </c>
      <c r="J386">
        <v>-2.66</v>
      </c>
      <c r="K386">
        <v>0</v>
      </c>
    </row>
    <row r="387" spans="1:11" customFormat="1" hidden="1">
      <c r="A387">
        <v>4534</v>
      </c>
      <c r="B387" t="s">
        <v>2163</v>
      </c>
      <c r="C387" s="46">
        <v>91075</v>
      </c>
      <c r="D387" s="46">
        <v>86816</v>
      </c>
      <c r="E387" s="46">
        <v>82967</v>
      </c>
      <c r="F387">
        <v>4.9000000000000004</v>
      </c>
      <c r="G387">
        <v>9.77</v>
      </c>
      <c r="H387" s="46">
        <v>952320</v>
      </c>
      <c r="I387" s="46">
        <v>938005</v>
      </c>
      <c r="J387">
        <v>1.52</v>
      </c>
      <c r="K387">
        <v>0</v>
      </c>
    </row>
    <row r="388" spans="1:11" customFormat="1" hidden="1">
      <c r="A388">
        <v>4533</v>
      </c>
      <c r="B388" t="s">
        <v>1978</v>
      </c>
      <c r="C388" s="46">
        <v>245478</v>
      </c>
      <c r="D388" s="46">
        <v>279977</v>
      </c>
      <c r="E388" s="46">
        <v>320140</v>
      </c>
      <c r="F388">
        <v>-12.32</v>
      </c>
      <c r="G388">
        <v>-23.32</v>
      </c>
      <c r="H388" s="46">
        <v>2792791</v>
      </c>
      <c r="I388" s="46">
        <v>3396514</v>
      </c>
      <c r="J388">
        <v>-17.77</v>
      </c>
      <c r="K388">
        <v>0</v>
      </c>
    </row>
    <row r="389" spans="1:11" customFormat="1" hidden="1">
      <c r="A389">
        <v>4530</v>
      </c>
      <c r="B389" t="s">
        <v>2162</v>
      </c>
      <c r="C389" s="46">
        <v>1536</v>
      </c>
      <c r="D389" s="46">
        <v>3495</v>
      </c>
      <c r="E389" s="46">
        <v>5660</v>
      </c>
      <c r="F389">
        <v>-56.05</v>
      </c>
      <c r="G389">
        <v>-72.86</v>
      </c>
      <c r="H389" s="46">
        <v>53420</v>
      </c>
      <c r="I389" s="46">
        <v>61463</v>
      </c>
      <c r="J389">
        <v>-13.08</v>
      </c>
      <c r="K389">
        <v>0</v>
      </c>
    </row>
    <row r="390" spans="1:11" customFormat="1" hidden="1">
      <c r="A390">
        <v>4529</v>
      </c>
      <c r="B390" t="s">
        <v>1609</v>
      </c>
      <c r="C390" s="46">
        <v>403</v>
      </c>
      <c r="D390" s="46">
        <v>404</v>
      </c>
      <c r="E390" s="46">
        <v>-674</v>
      </c>
      <c r="F390">
        <v>-0.24</v>
      </c>
      <c r="G390">
        <v>159.79</v>
      </c>
      <c r="H390" s="46">
        <v>29572</v>
      </c>
      <c r="I390" s="46">
        <v>18736</v>
      </c>
      <c r="J390">
        <v>57.83</v>
      </c>
      <c r="K390">
        <v>0</v>
      </c>
    </row>
    <row r="391" spans="1:11" customFormat="1" hidden="1">
      <c r="A391">
        <v>4528</v>
      </c>
      <c r="B391" t="s">
        <v>1977</v>
      </c>
      <c r="C391" s="46">
        <v>189745</v>
      </c>
      <c r="D391" s="46">
        <v>188569</v>
      </c>
      <c r="E391" s="46">
        <v>159117</v>
      </c>
      <c r="F391">
        <v>0.62</v>
      </c>
      <c r="G391">
        <v>19.239999999999998</v>
      </c>
      <c r="H391" s="46">
        <v>1848178</v>
      </c>
      <c r="I391" s="46">
        <v>1448551</v>
      </c>
      <c r="J391">
        <v>27.58</v>
      </c>
      <c r="K391">
        <v>0</v>
      </c>
    </row>
    <row r="392" spans="1:11" customFormat="1" hidden="1">
      <c r="A392">
        <v>4527</v>
      </c>
      <c r="B392" t="s">
        <v>1976</v>
      </c>
      <c r="C392" s="46">
        <v>240117</v>
      </c>
      <c r="D392" s="46">
        <v>227788</v>
      </c>
      <c r="E392" s="46">
        <v>205323</v>
      </c>
      <c r="F392">
        <v>5.41</v>
      </c>
      <c r="G392">
        <v>16.940000000000001</v>
      </c>
      <c r="H392" s="46">
        <v>1960301</v>
      </c>
      <c r="I392" s="46">
        <v>2080507</v>
      </c>
      <c r="J392">
        <v>-5.77</v>
      </c>
      <c r="K392" s="286">
        <v>1</v>
      </c>
    </row>
    <row r="393" spans="1:11" customFormat="1" hidden="1">
      <c r="A393">
        <v>4523</v>
      </c>
      <c r="B393" t="s">
        <v>2161</v>
      </c>
      <c r="C393" s="46">
        <v>124231</v>
      </c>
      <c r="D393" s="46">
        <v>147474</v>
      </c>
      <c r="E393" s="46">
        <v>123844</v>
      </c>
      <c r="F393">
        <v>-15.76</v>
      </c>
      <c r="G393">
        <v>0.31</v>
      </c>
      <c r="H393" s="46">
        <v>1277743</v>
      </c>
      <c r="I393" s="46">
        <v>1120356</v>
      </c>
      <c r="J393">
        <v>14.04</v>
      </c>
      <c r="K393">
        <v>0</v>
      </c>
    </row>
    <row r="394" spans="1:11" customFormat="1" hidden="1">
      <c r="A394">
        <v>4513</v>
      </c>
      <c r="B394" t="s">
        <v>1975</v>
      </c>
      <c r="C394" s="46">
        <v>138651</v>
      </c>
      <c r="D394" s="46">
        <v>149074</v>
      </c>
      <c r="E394" s="46">
        <v>213916</v>
      </c>
      <c r="F394">
        <v>-6.99</v>
      </c>
      <c r="G394">
        <v>-35.18</v>
      </c>
      <c r="H394" s="46">
        <v>1837075</v>
      </c>
      <c r="I394" s="46">
        <v>2041347</v>
      </c>
      <c r="J394">
        <v>-10</v>
      </c>
      <c r="K394" s="286">
        <v>0</v>
      </c>
    </row>
    <row r="395" spans="1:11" customFormat="1" hidden="1">
      <c r="A395">
        <v>4510</v>
      </c>
      <c r="B395" t="s">
        <v>1974</v>
      </c>
      <c r="C395" s="46">
        <v>176588</v>
      </c>
      <c r="D395" s="46">
        <v>169331</v>
      </c>
      <c r="E395" s="46">
        <v>173852</v>
      </c>
      <c r="F395">
        <v>4.28</v>
      </c>
      <c r="G395">
        <v>1.57</v>
      </c>
      <c r="H395" s="46">
        <v>1755019</v>
      </c>
      <c r="I395" s="46">
        <v>1723406</v>
      </c>
      <c r="J395">
        <v>1.83</v>
      </c>
      <c r="K395">
        <v>0</v>
      </c>
    </row>
    <row r="396" spans="1:11" customFormat="1" hidden="1">
      <c r="A396">
        <v>4506</v>
      </c>
      <c r="B396" t="s">
        <v>385</v>
      </c>
      <c r="C396" s="46">
        <v>271362</v>
      </c>
      <c r="D396" s="46">
        <v>308038</v>
      </c>
      <c r="E396" s="46">
        <v>271477</v>
      </c>
      <c r="F396">
        <v>-11.9</v>
      </c>
      <c r="G396">
        <v>-0.04</v>
      </c>
      <c r="H396" s="46">
        <v>3583723</v>
      </c>
      <c r="I396" s="46">
        <v>2664083</v>
      </c>
      <c r="J396">
        <v>34.51</v>
      </c>
      <c r="K396" s="286">
        <v>0</v>
      </c>
    </row>
    <row r="397" spans="1:11" customFormat="1" hidden="1">
      <c r="A397">
        <v>4503</v>
      </c>
      <c r="B397" t="s">
        <v>384</v>
      </c>
      <c r="C397" s="46">
        <v>18528</v>
      </c>
      <c r="D397" s="46">
        <v>18615</v>
      </c>
      <c r="E397" s="46">
        <v>14389</v>
      </c>
      <c r="F397">
        <v>-0.46</v>
      </c>
      <c r="G397">
        <v>28.76</v>
      </c>
      <c r="H397" s="46">
        <v>160321</v>
      </c>
      <c r="I397" s="46">
        <v>149061</v>
      </c>
      <c r="J397">
        <v>7.55</v>
      </c>
      <c r="K397">
        <v>1</v>
      </c>
    </row>
    <row r="398" spans="1:11" customFormat="1">
      <c r="A398" s="62" t="str">
        <f>HYPERLINK("http://tw.stock.yahoo.com/q/ta?s=5392","5392")</f>
        <v>5392</v>
      </c>
      <c r="B398" s="62" t="str">
        <f>HYPERLINK("http://tw.stock.yahoo.com/d/s/earning_5392.html","應華精密")</f>
        <v>應華精密</v>
      </c>
      <c r="C398" s="46">
        <v>622874</v>
      </c>
      <c r="D398" s="46">
        <v>555344</v>
      </c>
      <c r="E398" s="46">
        <v>391847</v>
      </c>
      <c r="F398">
        <v>12.16</v>
      </c>
      <c r="G398">
        <v>58.95</v>
      </c>
      <c r="H398" s="46">
        <v>4794193</v>
      </c>
      <c r="I398" s="46">
        <v>3049396</v>
      </c>
      <c r="J398">
        <v>57.21</v>
      </c>
      <c r="K398">
        <v>1</v>
      </c>
    </row>
    <row r="399" spans="1:11" customFormat="1" hidden="1">
      <c r="A399">
        <v>4433</v>
      </c>
      <c r="B399" t="s">
        <v>2158</v>
      </c>
      <c r="C399" s="46">
        <v>132014</v>
      </c>
      <c r="D399" s="46">
        <v>132140</v>
      </c>
      <c r="E399" s="46">
        <v>138526</v>
      </c>
      <c r="F399">
        <v>-0.09</v>
      </c>
      <c r="G399">
        <v>-4.7</v>
      </c>
      <c r="H399" s="46">
        <v>1233466</v>
      </c>
      <c r="I399" s="46">
        <v>1180112</v>
      </c>
      <c r="J399">
        <v>4.5199999999999996</v>
      </c>
      <c r="K399" s="286">
        <v>1</v>
      </c>
    </row>
    <row r="400" spans="1:11" customFormat="1" hidden="1">
      <c r="A400">
        <v>4432</v>
      </c>
      <c r="B400" t="s">
        <v>1601</v>
      </c>
      <c r="C400" s="46">
        <v>132494</v>
      </c>
      <c r="D400" s="46">
        <v>176371</v>
      </c>
      <c r="E400" s="46">
        <v>143140</v>
      </c>
      <c r="F400">
        <v>-24.87</v>
      </c>
      <c r="G400">
        <v>-7.43</v>
      </c>
      <c r="H400" s="46">
        <v>1964523</v>
      </c>
      <c r="I400" s="46">
        <v>2230956</v>
      </c>
      <c r="J400">
        <v>-11.94</v>
      </c>
      <c r="K400">
        <v>0</v>
      </c>
    </row>
    <row r="401" spans="1:11" customFormat="1" hidden="1">
      <c r="A401">
        <v>4430</v>
      </c>
      <c r="B401" t="s">
        <v>2283</v>
      </c>
      <c r="C401" s="46">
        <v>132480</v>
      </c>
      <c r="D401" s="46">
        <v>137043</v>
      </c>
      <c r="E401" s="46">
        <v>171051</v>
      </c>
      <c r="F401">
        <v>-3.32</v>
      </c>
      <c r="G401">
        <v>-22.54</v>
      </c>
      <c r="H401" s="46">
        <v>1585267</v>
      </c>
      <c r="I401" s="46">
        <v>1747512</v>
      </c>
      <c r="J401">
        <v>-9.2799999999999994</v>
      </c>
      <c r="K401">
        <v>0</v>
      </c>
    </row>
    <row r="402" spans="1:11" customFormat="1" hidden="1">
      <c r="A402">
        <v>4429</v>
      </c>
      <c r="B402" t="s">
        <v>383</v>
      </c>
      <c r="C402" s="46">
        <v>72852</v>
      </c>
      <c r="D402" s="46">
        <v>77156</v>
      </c>
      <c r="E402" s="46">
        <v>95661</v>
      </c>
      <c r="F402">
        <v>-5.57</v>
      </c>
      <c r="G402">
        <v>-23.84</v>
      </c>
      <c r="H402" s="46">
        <v>816732</v>
      </c>
      <c r="I402" s="46">
        <v>953400</v>
      </c>
      <c r="J402">
        <v>-14.33</v>
      </c>
      <c r="K402">
        <v>0</v>
      </c>
    </row>
    <row r="403" spans="1:11" customFormat="1" hidden="1">
      <c r="A403">
        <v>4420</v>
      </c>
      <c r="B403" t="s">
        <v>2138</v>
      </c>
      <c r="C403" s="46">
        <v>83756</v>
      </c>
      <c r="D403" s="46">
        <v>80646</v>
      </c>
      <c r="E403" s="46">
        <v>35440</v>
      </c>
      <c r="F403">
        <v>3.85</v>
      </c>
      <c r="G403">
        <v>136.33000000000001</v>
      </c>
      <c r="H403" s="46">
        <v>452303</v>
      </c>
      <c r="I403" s="46">
        <v>356799</v>
      </c>
      <c r="J403">
        <v>26.76</v>
      </c>
      <c r="K403">
        <v>1</v>
      </c>
    </row>
    <row r="404" spans="1:11" customFormat="1" hidden="1">
      <c r="A404">
        <v>4419</v>
      </c>
      <c r="B404" t="s">
        <v>2137</v>
      </c>
      <c r="C404" s="46">
        <v>3071</v>
      </c>
      <c r="D404" s="46">
        <v>3967</v>
      </c>
      <c r="E404" s="46">
        <v>9100</v>
      </c>
      <c r="F404">
        <v>-22.58</v>
      </c>
      <c r="G404">
        <v>-66.25</v>
      </c>
      <c r="H404" s="46">
        <v>59536</v>
      </c>
      <c r="I404" s="46">
        <v>114687</v>
      </c>
      <c r="J404" s="276">
        <v>-48.08</v>
      </c>
      <c r="K404">
        <v>0</v>
      </c>
    </row>
    <row r="405" spans="1:11" customFormat="1" hidden="1">
      <c r="A405">
        <v>4417</v>
      </c>
      <c r="B405" t="s">
        <v>2157</v>
      </c>
      <c r="C405" s="46">
        <v>193724</v>
      </c>
      <c r="D405" s="46">
        <v>232108</v>
      </c>
      <c r="E405" s="46">
        <v>301051</v>
      </c>
      <c r="F405">
        <v>-16.53</v>
      </c>
      <c r="G405">
        <v>-35.65</v>
      </c>
      <c r="H405" s="46">
        <v>2424178</v>
      </c>
      <c r="I405" s="46">
        <v>2380765</v>
      </c>
      <c r="J405">
        <v>1.82</v>
      </c>
      <c r="K405">
        <v>0</v>
      </c>
    </row>
    <row r="406" spans="1:11" customFormat="1" hidden="1">
      <c r="A406">
        <v>4416</v>
      </c>
      <c r="B406" t="s">
        <v>382</v>
      </c>
      <c r="C406" s="46">
        <v>8267</v>
      </c>
      <c r="D406" s="46">
        <v>8280</v>
      </c>
      <c r="E406" s="46">
        <v>52055</v>
      </c>
      <c r="F406">
        <v>-0.15</v>
      </c>
      <c r="G406">
        <v>-84.11</v>
      </c>
      <c r="H406" s="46">
        <v>1729508</v>
      </c>
      <c r="I406" s="46">
        <v>3029344</v>
      </c>
      <c r="J406">
        <v>-42.9</v>
      </c>
      <c r="K406" s="286">
        <v>0</v>
      </c>
    </row>
    <row r="407" spans="1:11" customFormat="1">
      <c r="A407" s="62" t="str">
        <f>HYPERLINK("http://tw.stock.yahoo.com/q/ta?s=3081","3081")</f>
        <v>3081</v>
      </c>
      <c r="B407" s="62" t="str">
        <f>HYPERLINK("http://tw.stock.yahoo.com/d/s/earning_3081.html","聯亞光電")</f>
        <v>聯亞光電</v>
      </c>
      <c r="C407" s="46">
        <v>205349</v>
      </c>
      <c r="D407" s="46">
        <v>191659</v>
      </c>
      <c r="E407" s="46">
        <v>116403</v>
      </c>
      <c r="F407">
        <v>7.14</v>
      </c>
      <c r="G407">
        <v>76.41</v>
      </c>
      <c r="H407" s="46">
        <v>1612244</v>
      </c>
      <c r="I407" s="46">
        <v>1057469</v>
      </c>
      <c r="J407">
        <v>52.46</v>
      </c>
      <c r="K407">
        <v>1</v>
      </c>
    </row>
    <row r="408" spans="1:11" customFormat="1" hidden="1">
      <c r="A408">
        <v>4413</v>
      </c>
      <c r="B408" t="s">
        <v>2156</v>
      </c>
      <c r="C408" s="46">
        <v>21797</v>
      </c>
      <c r="D408" s="46">
        <v>38211</v>
      </c>
      <c r="E408" s="46">
        <v>4611</v>
      </c>
      <c r="F408">
        <v>-42.95</v>
      </c>
      <c r="G408">
        <v>372.71</v>
      </c>
      <c r="H408" s="46">
        <v>187390</v>
      </c>
      <c r="I408" s="46">
        <v>58806</v>
      </c>
      <c r="J408">
        <v>218.65</v>
      </c>
      <c r="K408">
        <v>1</v>
      </c>
    </row>
    <row r="409" spans="1:11" customFormat="1" hidden="1">
      <c r="A409">
        <v>4406</v>
      </c>
      <c r="B409" t="s">
        <v>1972</v>
      </c>
      <c r="C409" s="46">
        <v>61153</v>
      </c>
      <c r="D409" s="46">
        <v>50696</v>
      </c>
      <c r="E409" s="46">
        <v>67663</v>
      </c>
      <c r="F409">
        <v>20.62</v>
      </c>
      <c r="G409">
        <v>-9.6199999999999992</v>
      </c>
      <c r="H409" s="46">
        <v>635918</v>
      </c>
      <c r="I409" s="46">
        <v>688899</v>
      </c>
      <c r="J409">
        <v>-7.69</v>
      </c>
      <c r="K409">
        <v>0</v>
      </c>
    </row>
    <row r="410" spans="1:11" customFormat="1" hidden="1">
      <c r="A410">
        <v>4402</v>
      </c>
      <c r="B410" t="s">
        <v>381</v>
      </c>
      <c r="C410" s="46">
        <v>35266</v>
      </c>
      <c r="D410" s="46">
        <v>67893</v>
      </c>
      <c r="E410" s="46">
        <v>118985</v>
      </c>
      <c r="F410">
        <v>-48.05</v>
      </c>
      <c r="G410">
        <v>-70.36</v>
      </c>
      <c r="H410" s="46">
        <v>774011</v>
      </c>
      <c r="I410" s="46">
        <v>1132047</v>
      </c>
      <c r="J410">
        <v>-31.62</v>
      </c>
      <c r="K410">
        <v>0</v>
      </c>
    </row>
    <row r="411" spans="1:11" customFormat="1" hidden="1">
      <c r="A411">
        <v>4401</v>
      </c>
      <c r="B411" t="s">
        <v>2155</v>
      </c>
      <c r="C411" s="46">
        <v>392884</v>
      </c>
      <c r="D411" s="46">
        <v>381853</v>
      </c>
      <c r="E411" s="46">
        <v>376209</v>
      </c>
      <c r="F411">
        <v>2.88</v>
      </c>
      <c r="G411">
        <v>4.43</v>
      </c>
      <c r="H411" s="46">
        <v>3903541</v>
      </c>
      <c r="I411" s="46">
        <v>3670222</v>
      </c>
      <c r="J411">
        <v>6.35</v>
      </c>
      <c r="K411">
        <v>0</v>
      </c>
    </row>
    <row r="412" spans="1:11" customFormat="1" hidden="1">
      <c r="A412">
        <v>4305</v>
      </c>
      <c r="B412" t="s">
        <v>1971</v>
      </c>
      <c r="C412" s="46">
        <v>108735</v>
      </c>
      <c r="D412" s="46">
        <v>105545</v>
      </c>
      <c r="E412" s="46">
        <v>142370</v>
      </c>
      <c r="F412">
        <v>3.02</v>
      </c>
      <c r="G412">
        <v>-23.62</v>
      </c>
      <c r="H412" s="46">
        <v>1033167</v>
      </c>
      <c r="I412" s="46">
        <v>1206816</v>
      </c>
      <c r="J412">
        <v>-14.38</v>
      </c>
      <c r="K412">
        <v>1</v>
      </c>
    </row>
    <row r="413" spans="1:11" customFormat="1" hidden="1">
      <c r="A413">
        <v>4304</v>
      </c>
      <c r="B413" t="s">
        <v>380</v>
      </c>
      <c r="C413" s="46">
        <v>35004</v>
      </c>
      <c r="D413" s="46">
        <v>32617</v>
      </c>
      <c r="E413" s="46">
        <v>40986</v>
      </c>
      <c r="F413">
        <v>7.31</v>
      </c>
      <c r="G413">
        <v>-14.59</v>
      </c>
      <c r="H413" s="46">
        <v>340169</v>
      </c>
      <c r="I413" s="46">
        <v>474370</v>
      </c>
      <c r="J413">
        <v>-28.29</v>
      </c>
      <c r="K413">
        <v>0</v>
      </c>
    </row>
    <row r="414" spans="1:11" customFormat="1" hidden="1">
      <c r="A414">
        <v>4303</v>
      </c>
      <c r="B414" t="s">
        <v>1591</v>
      </c>
      <c r="C414" s="46">
        <v>56973</v>
      </c>
      <c r="D414" s="46">
        <v>47211</v>
      </c>
      <c r="E414" s="46">
        <v>56337</v>
      </c>
      <c r="F414">
        <v>20.67</v>
      </c>
      <c r="G414">
        <v>1.1200000000000001</v>
      </c>
      <c r="H414" s="46">
        <v>549650</v>
      </c>
      <c r="I414" s="46">
        <v>570756</v>
      </c>
      <c r="J414">
        <v>-3.69</v>
      </c>
      <c r="K414">
        <v>0</v>
      </c>
    </row>
    <row r="415" spans="1:11" customFormat="1" hidden="1">
      <c r="A415">
        <v>4207</v>
      </c>
      <c r="B415" t="s">
        <v>2136</v>
      </c>
      <c r="C415" s="46">
        <v>256261</v>
      </c>
      <c r="D415" s="46">
        <v>254555</v>
      </c>
      <c r="E415" s="46">
        <v>252788</v>
      </c>
      <c r="F415">
        <v>0.67</v>
      </c>
      <c r="G415">
        <v>1.37</v>
      </c>
      <c r="H415" s="46">
        <v>2705340</v>
      </c>
      <c r="I415" s="46">
        <v>2828083</v>
      </c>
      <c r="J415">
        <v>-4.34</v>
      </c>
      <c r="K415">
        <v>0</v>
      </c>
    </row>
    <row r="416" spans="1:11" customFormat="1" hidden="1">
      <c r="A416">
        <v>4205</v>
      </c>
      <c r="B416" t="s">
        <v>1970</v>
      </c>
      <c r="C416" s="46">
        <v>116468</v>
      </c>
      <c r="D416" s="46">
        <v>102809</v>
      </c>
      <c r="E416" s="46">
        <v>105035</v>
      </c>
      <c r="F416">
        <v>13.28</v>
      </c>
      <c r="G416">
        <v>10.88</v>
      </c>
      <c r="H416" s="46">
        <v>1080543</v>
      </c>
      <c r="I416" s="46">
        <v>1020020</v>
      </c>
      <c r="J416">
        <v>5.93</v>
      </c>
      <c r="K416">
        <v>1</v>
      </c>
    </row>
    <row r="417" spans="1:11" customFormat="1" hidden="1">
      <c r="A417">
        <v>4198</v>
      </c>
      <c r="B417" t="s">
        <v>379</v>
      </c>
      <c r="C417" s="46">
        <v>30971</v>
      </c>
      <c r="D417" s="46">
        <v>66586</v>
      </c>
      <c r="E417" s="46">
        <v>66515</v>
      </c>
      <c r="F417">
        <v>-53.48</v>
      </c>
      <c r="G417">
        <v>-53.43</v>
      </c>
      <c r="H417" s="46">
        <v>515129</v>
      </c>
      <c r="I417" s="46">
        <v>492891</v>
      </c>
      <c r="J417">
        <v>4.51</v>
      </c>
      <c r="K417">
        <v>0</v>
      </c>
    </row>
    <row r="418" spans="1:11" customFormat="1" hidden="1">
      <c r="A418">
        <v>4192</v>
      </c>
      <c r="B418" t="s">
        <v>1997</v>
      </c>
      <c r="C418" s="46">
        <v>558</v>
      </c>
      <c r="D418" s="46">
        <v>672</v>
      </c>
      <c r="E418" s="46">
        <v>600</v>
      </c>
      <c r="F418">
        <v>-16.96</v>
      </c>
      <c r="G418">
        <v>-7</v>
      </c>
      <c r="H418" s="46">
        <v>14197</v>
      </c>
      <c r="I418" s="46">
        <v>4148</v>
      </c>
      <c r="J418">
        <v>242.26</v>
      </c>
      <c r="K418">
        <v>0</v>
      </c>
    </row>
    <row r="419" spans="1:11" customFormat="1" hidden="1">
      <c r="A419">
        <v>4188</v>
      </c>
      <c r="B419" t="s">
        <v>1996</v>
      </c>
      <c r="C419" s="46">
        <v>31</v>
      </c>
      <c r="D419" s="46">
        <v>0</v>
      </c>
      <c r="E419" s="46">
        <v>0</v>
      </c>
      <c r="H419" s="46">
        <v>31</v>
      </c>
      <c r="I419" s="46">
        <v>0</v>
      </c>
      <c r="K419">
        <v>1</v>
      </c>
    </row>
    <row r="420" spans="1:11" customFormat="1">
      <c r="A420" s="62" t="str">
        <f>HYPERLINK("http://tw.stock.yahoo.com/q/ta?s=3521","3521")</f>
        <v>3521</v>
      </c>
      <c r="B420" s="62" t="str">
        <f>HYPERLINK("http://tw.stock.yahoo.com/d/s/earning_3521.html","鴻翊")</f>
        <v>鴻翊</v>
      </c>
      <c r="C420" s="46">
        <v>97066</v>
      </c>
      <c r="D420" s="46">
        <v>86990</v>
      </c>
      <c r="E420" s="46">
        <v>35729</v>
      </c>
      <c r="F420">
        <v>11.58</v>
      </c>
      <c r="G420">
        <v>171.67</v>
      </c>
      <c r="H420" s="46">
        <v>483905</v>
      </c>
      <c r="I420" s="46">
        <v>338597</v>
      </c>
      <c r="J420">
        <v>42.91</v>
      </c>
      <c r="K420">
        <v>1</v>
      </c>
    </row>
    <row r="421" spans="1:11" customFormat="1" hidden="1">
      <c r="A421">
        <v>4175</v>
      </c>
      <c r="B421" t="s">
        <v>378</v>
      </c>
      <c r="C421" s="46">
        <v>343294</v>
      </c>
      <c r="D421" s="46">
        <v>324997</v>
      </c>
      <c r="E421" s="46">
        <v>309500</v>
      </c>
      <c r="F421">
        <v>5.62</v>
      </c>
      <c r="G421">
        <v>10.91</v>
      </c>
      <c r="H421" s="46">
        <v>3168808</v>
      </c>
      <c r="I421" s="46">
        <v>2952978</v>
      </c>
      <c r="J421">
        <v>7.3</v>
      </c>
      <c r="K421">
        <v>1</v>
      </c>
    </row>
    <row r="422" spans="1:11" customFormat="1" hidden="1">
      <c r="A422">
        <v>4174</v>
      </c>
      <c r="B422" t="s">
        <v>377</v>
      </c>
      <c r="C422" s="46">
        <v>0</v>
      </c>
      <c r="D422" s="46">
        <v>0</v>
      </c>
      <c r="E422" s="46">
        <v>0</v>
      </c>
      <c r="H422" s="46">
        <v>0</v>
      </c>
      <c r="I422" s="46">
        <v>0</v>
      </c>
      <c r="K422">
        <v>0</v>
      </c>
    </row>
    <row r="423" spans="1:11" customFormat="1" hidden="1">
      <c r="A423">
        <v>4173</v>
      </c>
      <c r="B423" t="s">
        <v>376</v>
      </c>
      <c r="C423" s="46">
        <v>116018</v>
      </c>
      <c r="D423" s="46">
        <v>97559</v>
      </c>
      <c r="E423" s="46">
        <v>117900</v>
      </c>
      <c r="F423">
        <v>18.920000000000002</v>
      </c>
      <c r="G423">
        <v>-1.59</v>
      </c>
      <c r="H423" s="46">
        <v>1112575</v>
      </c>
      <c r="I423" s="46">
        <v>1129171</v>
      </c>
      <c r="J423">
        <v>-1.46</v>
      </c>
      <c r="K423">
        <v>0</v>
      </c>
    </row>
    <row r="424" spans="1:11" customFormat="1" hidden="1">
      <c r="A424">
        <v>4171</v>
      </c>
      <c r="B424" t="s">
        <v>1995</v>
      </c>
      <c r="C424" s="46">
        <v>14834</v>
      </c>
      <c r="D424" s="46">
        <v>11871</v>
      </c>
      <c r="E424" s="46">
        <v>8997</v>
      </c>
      <c r="F424">
        <v>24.95</v>
      </c>
      <c r="G424">
        <v>64.87</v>
      </c>
      <c r="H424" s="46">
        <v>127356</v>
      </c>
      <c r="I424" s="46">
        <v>115719</v>
      </c>
      <c r="J424">
        <v>10.050000000000001</v>
      </c>
      <c r="K424">
        <v>1</v>
      </c>
    </row>
    <row r="425" spans="1:11" customFormat="1" hidden="1">
      <c r="A425">
        <v>4168</v>
      </c>
      <c r="B425" t="s">
        <v>375</v>
      </c>
      <c r="C425" s="46">
        <v>1314</v>
      </c>
      <c r="D425" s="46">
        <v>0</v>
      </c>
      <c r="E425" s="46">
        <v>25</v>
      </c>
      <c r="G425" s="276">
        <v>5156</v>
      </c>
      <c r="H425" s="46">
        <v>6879</v>
      </c>
      <c r="I425" s="46">
        <v>496</v>
      </c>
      <c r="J425" s="276">
        <v>1286.8900000000001</v>
      </c>
      <c r="K425">
        <v>1</v>
      </c>
    </row>
    <row r="426" spans="1:11" customFormat="1" hidden="1">
      <c r="A426">
        <v>4167</v>
      </c>
      <c r="B426" t="s">
        <v>374</v>
      </c>
      <c r="C426" s="46">
        <v>95980</v>
      </c>
      <c r="D426" s="46">
        <v>102947</v>
      </c>
      <c r="E426" s="46">
        <v>106186</v>
      </c>
      <c r="F426">
        <v>-6.76</v>
      </c>
      <c r="G426">
        <v>-9.61</v>
      </c>
      <c r="H426" s="46">
        <v>963717</v>
      </c>
      <c r="I426" s="46">
        <v>798069</v>
      </c>
      <c r="J426">
        <v>20.75</v>
      </c>
      <c r="K426">
        <v>0</v>
      </c>
    </row>
    <row r="427" spans="1:11" customFormat="1" hidden="1">
      <c r="A427">
        <v>4163</v>
      </c>
      <c r="B427" t="s">
        <v>1994</v>
      </c>
      <c r="C427" s="46">
        <v>158144</v>
      </c>
      <c r="D427" s="46">
        <v>139724</v>
      </c>
      <c r="E427" s="46">
        <v>184701</v>
      </c>
      <c r="F427">
        <v>13.18</v>
      </c>
      <c r="G427">
        <v>-14.37</v>
      </c>
      <c r="H427" s="46">
        <v>1564306</v>
      </c>
      <c r="I427" s="46">
        <v>1544456</v>
      </c>
      <c r="J427">
        <v>1.28</v>
      </c>
      <c r="K427">
        <v>0</v>
      </c>
    </row>
    <row r="428" spans="1:11" customFormat="1" hidden="1">
      <c r="A428">
        <v>4162</v>
      </c>
      <c r="B428" t="s">
        <v>373</v>
      </c>
      <c r="C428" s="46">
        <v>134</v>
      </c>
      <c r="D428" s="46">
        <v>558</v>
      </c>
      <c r="E428" s="46">
        <v>3093</v>
      </c>
      <c r="F428">
        <v>-75.98</v>
      </c>
      <c r="G428">
        <v>-95.66</v>
      </c>
      <c r="H428" s="46">
        <v>505903</v>
      </c>
      <c r="I428" s="46">
        <v>226402</v>
      </c>
      <c r="J428">
        <v>123.45</v>
      </c>
      <c r="K428">
        <v>0</v>
      </c>
    </row>
    <row r="429" spans="1:11" customFormat="1" hidden="1">
      <c r="A429">
        <v>4161</v>
      </c>
      <c r="B429" t="s">
        <v>1993</v>
      </c>
      <c r="C429" s="46">
        <v>38826</v>
      </c>
      <c r="D429" s="46">
        <v>36341</v>
      </c>
      <c r="E429" s="46">
        <v>36353</v>
      </c>
      <c r="F429">
        <v>6.83</v>
      </c>
      <c r="G429">
        <v>6.8</v>
      </c>
      <c r="H429" s="46">
        <v>372526</v>
      </c>
      <c r="I429" s="46">
        <v>322596</v>
      </c>
      <c r="J429">
        <v>15.47</v>
      </c>
      <c r="K429">
        <v>0</v>
      </c>
    </row>
    <row r="430" spans="1:11" customFormat="1">
      <c r="A430" s="62" t="str">
        <f>HYPERLINK("http://tw.stock.yahoo.com/q/ta?s=4979","4979")</f>
        <v>4979</v>
      </c>
      <c r="B430" s="62" t="str">
        <f>HYPERLINK("http://tw.stock.yahoo.com/d/s/earning_4979.html","華星光")</f>
        <v>華星光</v>
      </c>
      <c r="C430" s="46">
        <v>378589</v>
      </c>
      <c r="D430" s="46">
        <v>281404</v>
      </c>
      <c r="E430" s="46">
        <v>272117</v>
      </c>
      <c r="F430">
        <v>34.53</v>
      </c>
      <c r="G430">
        <v>39.119999999999997</v>
      </c>
      <c r="H430" s="46">
        <v>3381421</v>
      </c>
      <c r="I430" s="46">
        <v>2395638</v>
      </c>
      <c r="J430">
        <v>41.14</v>
      </c>
      <c r="K430">
        <v>1</v>
      </c>
    </row>
    <row r="431" spans="1:11" customFormat="1" hidden="1">
      <c r="A431">
        <v>4153</v>
      </c>
      <c r="B431" t="s">
        <v>372</v>
      </c>
      <c r="C431" s="46">
        <v>91926</v>
      </c>
      <c r="D431" s="46">
        <v>101849</v>
      </c>
      <c r="E431" s="46">
        <v>75858</v>
      </c>
      <c r="F431">
        <v>-9.74</v>
      </c>
      <c r="G431">
        <v>21.18</v>
      </c>
      <c r="H431" s="46">
        <v>1099071</v>
      </c>
      <c r="I431" s="46">
        <v>754932</v>
      </c>
      <c r="J431">
        <v>45.58</v>
      </c>
      <c r="K431">
        <v>0</v>
      </c>
    </row>
    <row r="432" spans="1:11" customFormat="1" hidden="1">
      <c r="A432">
        <v>4152</v>
      </c>
      <c r="B432" t="s">
        <v>371</v>
      </c>
      <c r="C432" s="46">
        <v>3696</v>
      </c>
      <c r="D432" s="46">
        <v>3708</v>
      </c>
      <c r="E432" s="46">
        <v>4084</v>
      </c>
      <c r="F432">
        <v>-0.32</v>
      </c>
      <c r="G432">
        <v>-9.5</v>
      </c>
      <c r="H432" s="46">
        <v>52058</v>
      </c>
      <c r="I432" s="46">
        <v>89271</v>
      </c>
      <c r="J432">
        <v>-41.68</v>
      </c>
      <c r="K432">
        <v>0</v>
      </c>
    </row>
    <row r="433" spans="1:11" customFormat="1" hidden="1">
      <c r="A433">
        <v>4138</v>
      </c>
      <c r="B433" t="s">
        <v>2174</v>
      </c>
      <c r="C433" s="46">
        <v>96699</v>
      </c>
      <c r="D433" s="46">
        <v>97200</v>
      </c>
      <c r="E433" s="46">
        <v>91133</v>
      </c>
      <c r="F433">
        <v>-0.51</v>
      </c>
      <c r="G433">
        <v>6.1</v>
      </c>
      <c r="H433" s="46">
        <v>1089847</v>
      </c>
      <c r="I433" s="46">
        <v>982021</v>
      </c>
      <c r="J433">
        <v>10.98</v>
      </c>
      <c r="K433">
        <v>0</v>
      </c>
    </row>
    <row r="434" spans="1:11" customFormat="1" hidden="1">
      <c r="A434">
        <v>4131</v>
      </c>
      <c r="B434" t="s">
        <v>2142</v>
      </c>
      <c r="C434" s="46">
        <v>1879</v>
      </c>
      <c r="D434" s="46">
        <v>518</v>
      </c>
      <c r="E434" s="46">
        <v>845</v>
      </c>
      <c r="F434">
        <v>262.74</v>
      </c>
      <c r="G434">
        <v>122.36</v>
      </c>
      <c r="H434" s="46">
        <v>18611</v>
      </c>
      <c r="I434" s="46">
        <v>18345</v>
      </c>
      <c r="J434">
        <v>1.44</v>
      </c>
      <c r="K434">
        <v>0</v>
      </c>
    </row>
    <row r="435" spans="1:11" customFormat="1" hidden="1">
      <c r="A435">
        <v>4130</v>
      </c>
      <c r="B435" t="s">
        <v>370</v>
      </c>
      <c r="C435" s="46">
        <v>43372</v>
      </c>
      <c r="D435" s="46">
        <v>40536</v>
      </c>
      <c r="E435" s="46">
        <v>39217</v>
      </c>
      <c r="F435">
        <v>6.99</v>
      </c>
      <c r="G435">
        <v>10.59</v>
      </c>
      <c r="H435" s="46">
        <v>393135</v>
      </c>
      <c r="I435" s="46">
        <v>410062</v>
      </c>
      <c r="J435">
        <v>-4.12</v>
      </c>
      <c r="K435">
        <v>1</v>
      </c>
    </row>
    <row r="436" spans="1:11" customFormat="1" hidden="1">
      <c r="A436" s="262">
        <v>4129</v>
      </c>
      <c r="B436" s="262" t="s">
        <v>2173</v>
      </c>
      <c r="C436" s="284">
        <v>116460</v>
      </c>
      <c r="D436" s="284">
        <v>101979</v>
      </c>
      <c r="E436" s="284">
        <v>103650</v>
      </c>
      <c r="F436" s="27">
        <v>14.19</v>
      </c>
      <c r="G436" s="27">
        <v>12.35</v>
      </c>
      <c r="H436" s="284">
        <v>1135936</v>
      </c>
      <c r="I436" s="284">
        <v>894121</v>
      </c>
      <c r="J436" s="27">
        <v>27.04</v>
      </c>
      <c r="K436" s="287">
        <v>0</v>
      </c>
    </row>
    <row r="437" spans="1:11" customFormat="1" hidden="1">
      <c r="A437">
        <v>4128</v>
      </c>
      <c r="B437" t="s">
        <v>1992</v>
      </c>
      <c r="C437" s="46">
        <v>155997</v>
      </c>
      <c r="D437" s="46">
        <v>123672</v>
      </c>
      <c r="E437" s="46">
        <v>131278</v>
      </c>
      <c r="F437">
        <v>26.13</v>
      </c>
      <c r="G437">
        <v>18.82</v>
      </c>
      <c r="H437" s="46">
        <v>1270582</v>
      </c>
      <c r="I437" s="46">
        <v>1131168</v>
      </c>
      <c r="J437">
        <v>12.32</v>
      </c>
      <c r="K437" s="286">
        <v>1</v>
      </c>
    </row>
    <row r="438" spans="1:11" customFormat="1" hidden="1">
      <c r="A438">
        <v>4127</v>
      </c>
      <c r="B438" t="s">
        <v>2172</v>
      </c>
      <c r="C438" s="46">
        <v>70143</v>
      </c>
      <c r="D438" s="46">
        <v>64038</v>
      </c>
      <c r="E438" s="46">
        <v>78387</v>
      </c>
      <c r="F438">
        <v>9.5299999999999994</v>
      </c>
      <c r="G438">
        <v>-10.51</v>
      </c>
      <c r="H438" s="46">
        <v>723693</v>
      </c>
      <c r="I438" s="46">
        <v>709162</v>
      </c>
      <c r="J438">
        <v>2.04</v>
      </c>
      <c r="K438" s="286">
        <v>0</v>
      </c>
    </row>
    <row r="439" spans="1:11" customFormat="1" hidden="1">
      <c r="A439">
        <v>4126</v>
      </c>
      <c r="B439" t="s">
        <v>369</v>
      </c>
      <c r="C439" s="46">
        <v>149070</v>
      </c>
      <c r="D439" s="46">
        <v>138906</v>
      </c>
      <c r="E439" s="46">
        <v>143807</v>
      </c>
      <c r="F439">
        <v>7.31</v>
      </c>
      <c r="G439">
        <v>3.65</v>
      </c>
      <c r="H439" s="46">
        <v>1305763</v>
      </c>
      <c r="I439" s="46">
        <v>1255073</v>
      </c>
      <c r="J439">
        <v>4.03</v>
      </c>
      <c r="K439">
        <v>1</v>
      </c>
    </row>
    <row r="440" spans="1:11" customFormat="1" hidden="1">
      <c r="A440">
        <v>4123</v>
      </c>
      <c r="B440" t="s">
        <v>1573</v>
      </c>
      <c r="C440" s="46">
        <v>919925</v>
      </c>
      <c r="D440" s="46">
        <v>1325241</v>
      </c>
      <c r="E440" s="46">
        <v>77146</v>
      </c>
      <c r="F440">
        <v>-30.58</v>
      </c>
      <c r="G440" s="276">
        <v>1092.44</v>
      </c>
      <c r="H440" s="46">
        <v>3921243</v>
      </c>
      <c r="I440" s="46">
        <v>732520</v>
      </c>
      <c r="J440">
        <v>435.3</v>
      </c>
      <c r="K440">
        <v>1</v>
      </c>
    </row>
    <row r="441" spans="1:11" customFormat="1" hidden="1">
      <c r="A441">
        <v>4121</v>
      </c>
      <c r="B441" t="s">
        <v>1991</v>
      </c>
      <c r="C441" s="46">
        <v>280908</v>
      </c>
      <c r="D441" s="46">
        <v>274153</v>
      </c>
      <c r="E441" s="46">
        <v>289499</v>
      </c>
      <c r="F441">
        <v>2.46</v>
      </c>
      <c r="G441">
        <v>-2.96</v>
      </c>
      <c r="H441" s="46">
        <v>2834649</v>
      </c>
      <c r="I441" s="46">
        <v>2740466</v>
      </c>
      <c r="J441">
        <v>3.43</v>
      </c>
      <c r="K441">
        <v>0</v>
      </c>
    </row>
    <row r="442" spans="1:11" customFormat="1" hidden="1">
      <c r="A442">
        <v>4120</v>
      </c>
      <c r="B442" t="s">
        <v>368</v>
      </c>
      <c r="C442" s="46">
        <v>411736</v>
      </c>
      <c r="D442" s="46">
        <v>431527</v>
      </c>
      <c r="E442" s="46">
        <v>445885</v>
      </c>
      <c r="F442">
        <v>-4.58</v>
      </c>
      <c r="G442">
        <v>-7.65</v>
      </c>
      <c r="H442" s="46">
        <v>4132897</v>
      </c>
      <c r="I442" s="46">
        <v>4172343</v>
      </c>
      <c r="J442">
        <v>-0.94</v>
      </c>
      <c r="K442" s="286">
        <v>0</v>
      </c>
    </row>
    <row r="443" spans="1:11" customFormat="1" hidden="1">
      <c r="A443">
        <v>4114</v>
      </c>
      <c r="B443" t="s">
        <v>2171</v>
      </c>
      <c r="C443" s="46">
        <v>161269</v>
      </c>
      <c r="D443" s="46">
        <v>153044</v>
      </c>
      <c r="E443" s="46">
        <v>135301</v>
      </c>
      <c r="F443">
        <v>5.37</v>
      </c>
      <c r="G443">
        <v>19.190000000000001</v>
      </c>
      <c r="H443" s="46">
        <v>1470208</v>
      </c>
      <c r="I443" s="46">
        <v>1228613</v>
      </c>
      <c r="J443">
        <v>19.66</v>
      </c>
      <c r="K443" s="286">
        <v>1</v>
      </c>
    </row>
    <row r="444" spans="1:11" customFormat="1" hidden="1">
      <c r="A444">
        <v>4113</v>
      </c>
      <c r="B444" t="s">
        <v>367</v>
      </c>
      <c r="C444" s="46">
        <v>76941</v>
      </c>
      <c r="D444" s="46">
        <v>13528</v>
      </c>
      <c r="E444" s="46">
        <v>166228</v>
      </c>
      <c r="F444">
        <v>468.75</v>
      </c>
      <c r="G444">
        <v>-53.71</v>
      </c>
      <c r="H444" s="46">
        <v>394167</v>
      </c>
      <c r="I444" s="46">
        <v>2322183</v>
      </c>
      <c r="J444">
        <v>-83.02</v>
      </c>
      <c r="K444" s="286">
        <v>1</v>
      </c>
    </row>
    <row r="445" spans="1:11" customFormat="1" hidden="1">
      <c r="A445">
        <v>4111</v>
      </c>
      <c r="B445" t="s">
        <v>1990</v>
      </c>
      <c r="C445" s="46">
        <v>78344</v>
      </c>
      <c r="D445" s="46">
        <v>78417</v>
      </c>
      <c r="E445" s="46">
        <v>72337</v>
      </c>
      <c r="F445">
        <v>-0.09</v>
      </c>
      <c r="G445">
        <v>8.3000000000000007</v>
      </c>
      <c r="H445" s="46">
        <v>778651</v>
      </c>
      <c r="I445" s="46">
        <v>806979</v>
      </c>
      <c r="J445">
        <v>-3.51</v>
      </c>
      <c r="K445">
        <v>0</v>
      </c>
    </row>
    <row r="446" spans="1:11" customFormat="1" hidden="1">
      <c r="A446">
        <v>4109</v>
      </c>
      <c r="B446" t="s">
        <v>1569</v>
      </c>
      <c r="C446" s="46">
        <v>57390</v>
      </c>
      <c r="D446" s="46">
        <v>71787</v>
      </c>
      <c r="E446" s="46">
        <v>65482</v>
      </c>
      <c r="F446">
        <v>-20.05</v>
      </c>
      <c r="G446">
        <v>-12.35</v>
      </c>
      <c r="H446" s="46">
        <v>606122</v>
      </c>
      <c r="I446" s="46">
        <v>506232</v>
      </c>
      <c r="J446">
        <v>19.73</v>
      </c>
      <c r="K446" s="286">
        <v>0</v>
      </c>
    </row>
    <row r="447" spans="1:11" customFormat="1" hidden="1">
      <c r="A447">
        <v>4107</v>
      </c>
      <c r="B447" t="s">
        <v>2170</v>
      </c>
      <c r="C447" s="46">
        <v>118313</v>
      </c>
      <c r="D447" s="46">
        <v>101351</v>
      </c>
      <c r="E447" s="46">
        <v>101297</v>
      </c>
      <c r="F447">
        <v>16.73</v>
      </c>
      <c r="G447">
        <v>16.79</v>
      </c>
      <c r="H447" s="46">
        <v>1037162</v>
      </c>
      <c r="I447" s="46">
        <v>922975</v>
      </c>
      <c r="J447">
        <v>12.37</v>
      </c>
      <c r="K447" s="286">
        <v>1</v>
      </c>
    </row>
    <row r="448" spans="1:11" customFormat="1" hidden="1">
      <c r="A448">
        <v>4105</v>
      </c>
      <c r="B448" t="s">
        <v>1989</v>
      </c>
      <c r="C448" s="46">
        <v>305741</v>
      </c>
      <c r="D448" s="46">
        <v>242486</v>
      </c>
      <c r="E448" s="46">
        <v>248369</v>
      </c>
      <c r="F448">
        <v>26.08</v>
      </c>
      <c r="G448">
        <v>23.09</v>
      </c>
      <c r="H448" s="46">
        <v>2575962</v>
      </c>
      <c r="I448" s="46">
        <v>2432959</v>
      </c>
      <c r="J448">
        <v>5.87</v>
      </c>
      <c r="K448">
        <v>1</v>
      </c>
    </row>
    <row r="449" spans="1:11" customFormat="1" hidden="1">
      <c r="A449">
        <v>4103</v>
      </c>
      <c r="B449" t="s">
        <v>1988</v>
      </c>
      <c r="C449" s="46">
        <v>835548</v>
      </c>
      <c r="D449" s="46">
        <v>811703</v>
      </c>
      <c r="E449" s="46">
        <v>818643</v>
      </c>
      <c r="F449">
        <v>2.93</v>
      </c>
      <c r="G449">
        <v>2.06</v>
      </c>
      <c r="H449" s="46">
        <v>5009765</v>
      </c>
      <c r="I449" s="46">
        <v>4758147</v>
      </c>
      <c r="J449">
        <v>5.28</v>
      </c>
      <c r="K449">
        <v>1</v>
      </c>
    </row>
    <row r="450" spans="1:11" customFormat="1" hidden="1">
      <c r="A450">
        <v>4102</v>
      </c>
      <c r="B450" t="s">
        <v>1987</v>
      </c>
      <c r="C450" s="46">
        <v>34166</v>
      </c>
      <c r="D450" s="46">
        <v>35544</v>
      </c>
      <c r="E450" s="46">
        <v>27178</v>
      </c>
      <c r="F450">
        <v>-3.87</v>
      </c>
      <c r="G450">
        <v>25.71</v>
      </c>
      <c r="H450" s="46">
        <v>266640</v>
      </c>
      <c r="I450" s="46">
        <v>230524</v>
      </c>
      <c r="J450">
        <v>15.66</v>
      </c>
      <c r="K450">
        <v>1</v>
      </c>
    </row>
    <row r="451" spans="1:11" customFormat="1">
      <c r="A451" s="62" t="str">
        <f>HYPERLINK("http://tw.stock.yahoo.com/q/ta?s=3402","3402")</f>
        <v>3402</v>
      </c>
      <c r="B451" s="62" t="str">
        <f>HYPERLINK("http://tw.stock.yahoo.com/d/s/earning_3402.html","漢科系統")</f>
        <v>漢科系統</v>
      </c>
      <c r="C451" s="46">
        <v>214048</v>
      </c>
      <c r="D451" s="46">
        <v>191762</v>
      </c>
      <c r="E451" s="46">
        <v>202997</v>
      </c>
      <c r="F451">
        <v>11.62</v>
      </c>
      <c r="G451">
        <v>5.44</v>
      </c>
      <c r="H451" s="46">
        <v>2003854</v>
      </c>
      <c r="I451" s="46">
        <v>1458034</v>
      </c>
      <c r="J451">
        <v>37.43</v>
      </c>
      <c r="K451">
        <v>1</v>
      </c>
    </row>
    <row r="452" spans="1:11" customFormat="1" hidden="1">
      <c r="A452">
        <v>3693</v>
      </c>
      <c r="B452" t="s">
        <v>365</v>
      </c>
      <c r="C452" s="46">
        <v>361858</v>
      </c>
      <c r="D452" s="46">
        <v>298870</v>
      </c>
      <c r="E452" s="46">
        <v>225619</v>
      </c>
      <c r="F452">
        <v>21.07</v>
      </c>
      <c r="G452">
        <v>60.38</v>
      </c>
      <c r="H452" s="46">
        <v>4522731</v>
      </c>
      <c r="I452" s="46">
        <v>2987964</v>
      </c>
      <c r="J452">
        <v>51.36</v>
      </c>
      <c r="K452">
        <v>0</v>
      </c>
    </row>
    <row r="453" spans="1:11" customFormat="1" hidden="1">
      <c r="A453">
        <v>3691</v>
      </c>
      <c r="B453" t="s">
        <v>1564</v>
      </c>
      <c r="C453" s="46">
        <v>1607643</v>
      </c>
      <c r="D453" s="46">
        <v>1588666</v>
      </c>
      <c r="E453" s="46">
        <v>999099</v>
      </c>
      <c r="F453">
        <v>1.19</v>
      </c>
      <c r="G453">
        <v>60.9</v>
      </c>
      <c r="H453" s="46">
        <v>12481453</v>
      </c>
      <c r="I453" s="46">
        <v>7672545</v>
      </c>
      <c r="J453">
        <v>62.67</v>
      </c>
      <c r="K453">
        <v>1</v>
      </c>
    </row>
    <row r="454" spans="1:11" customFormat="1" hidden="1">
      <c r="A454">
        <v>3689</v>
      </c>
      <c r="B454" t="s">
        <v>2068</v>
      </c>
      <c r="C454" s="46">
        <v>390411</v>
      </c>
      <c r="D454" s="46">
        <v>441408</v>
      </c>
      <c r="E454" s="46">
        <v>402136</v>
      </c>
      <c r="F454">
        <v>-11.55</v>
      </c>
      <c r="G454">
        <v>-2.91</v>
      </c>
      <c r="H454" s="46">
        <v>3748547</v>
      </c>
      <c r="I454" s="46">
        <v>4348859</v>
      </c>
      <c r="J454">
        <v>-13.8</v>
      </c>
      <c r="K454">
        <v>0</v>
      </c>
    </row>
    <row r="455" spans="1:11" customFormat="1">
      <c r="A455" s="62" t="str">
        <f>HYPERLINK("http://tw.stock.yahoo.com/q/ta?s=4965","4965")</f>
        <v>4965</v>
      </c>
      <c r="B455" s="62" t="str">
        <f>HYPERLINK("http://tw.stock.yahoo.com/d/s/earning_4965.html","商店街")</f>
        <v>商店街</v>
      </c>
      <c r="C455" s="46">
        <v>126874</v>
      </c>
      <c r="D455" s="46">
        <v>119767</v>
      </c>
      <c r="E455" s="46">
        <v>88728</v>
      </c>
      <c r="F455">
        <v>5.93</v>
      </c>
      <c r="G455">
        <v>42.99</v>
      </c>
      <c r="H455" s="46">
        <v>1098156</v>
      </c>
      <c r="I455" s="46">
        <v>799508</v>
      </c>
      <c r="J455">
        <v>37.35</v>
      </c>
      <c r="K455">
        <v>1</v>
      </c>
    </row>
    <row r="456" spans="1:11" customFormat="1" hidden="1">
      <c r="A456">
        <v>3685</v>
      </c>
      <c r="B456" t="s">
        <v>1562</v>
      </c>
      <c r="C456" s="46">
        <v>33738</v>
      </c>
      <c r="D456" s="46">
        <v>49945</v>
      </c>
      <c r="E456" s="46">
        <v>44271</v>
      </c>
      <c r="F456">
        <v>-32.44</v>
      </c>
      <c r="G456">
        <v>-23.79</v>
      </c>
      <c r="H456" s="46">
        <v>490140</v>
      </c>
      <c r="I456" s="46">
        <v>476302</v>
      </c>
      <c r="J456">
        <v>2.9</v>
      </c>
      <c r="K456">
        <v>0</v>
      </c>
    </row>
    <row r="457" spans="1:11" customFormat="1" hidden="1">
      <c r="A457">
        <v>3684</v>
      </c>
      <c r="B457" t="s">
        <v>1561</v>
      </c>
      <c r="C457" s="46">
        <v>61343</v>
      </c>
      <c r="D457" s="46">
        <v>63882</v>
      </c>
      <c r="E457" s="46">
        <v>42996</v>
      </c>
      <c r="F457">
        <v>-3.97</v>
      </c>
      <c r="G457">
        <v>42.67</v>
      </c>
      <c r="H457" s="46">
        <v>571507</v>
      </c>
      <c r="I457" s="46">
        <v>412523</v>
      </c>
      <c r="J457">
        <v>38.53</v>
      </c>
      <c r="K457">
        <v>1</v>
      </c>
    </row>
    <row r="458" spans="1:11" customFormat="1" hidden="1">
      <c r="A458">
        <v>3680</v>
      </c>
      <c r="B458" t="s">
        <v>2143</v>
      </c>
      <c r="C458" s="46">
        <v>177036</v>
      </c>
      <c r="D458" s="46">
        <v>172775</v>
      </c>
      <c r="E458" s="46">
        <v>152526</v>
      </c>
      <c r="F458">
        <v>2.46</v>
      </c>
      <c r="G458">
        <v>16.059999999999999</v>
      </c>
      <c r="H458" s="46">
        <v>1549283</v>
      </c>
      <c r="I458" s="46">
        <v>1515394</v>
      </c>
      <c r="J458">
        <v>2.23</v>
      </c>
      <c r="K458" s="286">
        <v>1</v>
      </c>
    </row>
    <row r="459" spans="1:11" customFormat="1" hidden="1">
      <c r="A459">
        <v>3675</v>
      </c>
      <c r="B459" t="s">
        <v>2012</v>
      </c>
      <c r="C459" s="46">
        <v>76526</v>
      </c>
      <c r="D459" s="46">
        <v>98584</v>
      </c>
      <c r="E459" s="46">
        <v>86948</v>
      </c>
      <c r="F459">
        <v>-22.37</v>
      </c>
      <c r="G459">
        <v>-11.98</v>
      </c>
      <c r="H459" s="46">
        <v>907346</v>
      </c>
      <c r="I459" s="46">
        <v>935712</v>
      </c>
      <c r="J459">
        <v>-3.03</v>
      </c>
      <c r="K459">
        <v>0</v>
      </c>
    </row>
    <row r="460" spans="1:11" customFormat="1" hidden="1">
      <c r="A460">
        <v>3672</v>
      </c>
      <c r="B460" t="s">
        <v>363</v>
      </c>
      <c r="C460" s="46">
        <v>71420</v>
      </c>
      <c r="D460" s="46">
        <v>73906</v>
      </c>
      <c r="E460" s="46">
        <v>52639</v>
      </c>
      <c r="F460">
        <v>-3.36</v>
      </c>
      <c r="G460">
        <v>35.67</v>
      </c>
      <c r="H460" s="46">
        <v>709440</v>
      </c>
      <c r="I460" s="46">
        <v>616035</v>
      </c>
      <c r="J460">
        <v>15.16</v>
      </c>
      <c r="K460">
        <v>0</v>
      </c>
    </row>
    <row r="461" spans="1:11" customFormat="1" hidden="1">
      <c r="A461">
        <v>3666</v>
      </c>
      <c r="B461" t="s">
        <v>362</v>
      </c>
      <c r="C461" s="46">
        <v>110286</v>
      </c>
      <c r="D461" s="46">
        <v>101575</v>
      </c>
      <c r="E461" s="46">
        <v>119842</v>
      </c>
      <c r="F461">
        <v>8.57</v>
      </c>
      <c r="G461">
        <v>-7.97</v>
      </c>
      <c r="H461" s="46">
        <v>903715</v>
      </c>
      <c r="I461" s="46">
        <v>1327925</v>
      </c>
      <c r="J461">
        <v>-31.94</v>
      </c>
      <c r="K461">
        <v>1</v>
      </c>
    </row>
    <row r="462" spans="1:11" customFormat="1" hidden="1">
      <c r="A462">
        <v>3663</v>
      </c>
      <c r="B462" t="s">
        <v>2269</v>
      </c>
      <c r="C462" s="46">
        <v>220955</v>
      </c>
      <c r="D462" s="46">
        <v>215941</v>
      </c>
      <c r="E462" s="46">
        <v>232977</v>
      </c>
      <c r="F462">
        <v>2.3199999999999998</v>
      </c>
      <c r="G462">
        <v>-5.16</v>
      </c>
      <c r="H462" s="46">
        <v>2260721</v>
      </c>
      <c r="I462" s="46">
        <v>2724936</v>
      </c>
      <c r="J462">
        <v>-17.03</v>
      </c>
      <c r="K462" s="286">
        <v>0</v>
      </c>
    </row>
    <row r="463" spans="1:11" customFormat="1" hidden="1">
      <c r="A463">
        <v>3662</v>
      </c>
      <c r="B463" t="s">
        <v>2292</v>
      </c>
      <c r="C463" s="46">
        <v>207064</v>
      </c>
      <c r="D463" s="46">
        <v>264685</v>
      </c>
      <c r="E463" s="46">
        <v>106296</v>
      </c>
      <c r="F463">
        <v>-21.76</v>
      </c>
      <c r="G463">
        <v>94.79</v>
      </c>
      <c r="H463" s="46">
        <v>1728675</v>
      </c>
      <c r="I463" s="46">
        <v>565455</v>
      </c>
      <c r="J463">
        <v>205.71</v>
      </c>
      <c r="K463" s="286">
        <v>1</v>
      </c>
    </row>
    <row r="464" spans="1:11" customFormat="1" hidden="1">
      <c r="A464">
        <v>3658</v>
      </c>
      <c r="B464" t="s">
        <v>361</v>
      </c>
      <c r="C464" s="46">
        <v>214876</v>
      </c>
      <c r="D464" s="46">
        <v>398512</v>
      </c>
      <c r="E464" s="46">
        <v>331013</v>
      </c>
      <c r="F464">
        <v>-46.08</v>
      </c>
      <c r="G464">
        <v>-35.08</v>
      </c>
      <c r="H464" s="46">
        <v>5141749</v>
      </c>
      <c r="I464" s="46">
        <v>4845251</v>
      </c>
      <c r="J464">
        <v>6.11</v>
      </c>
      <c r="K464">
        <v>0</v>
      </c>
    </row>
    <row r="465" spans="1:11" customFormat="1" hidden="1">
      <c r="A465">
        <v>3652</v>
      </c>
      <c r="B465" t="s">
        <v>360</v>
      </c>
      <c r="C465" s="46">
        <v>182081</v>
      </c>
      <c r="D465" s="46">
        <v>174720</v>
      </c>
      <c r="E465" s="46">
        <v>167743</v>
      </c>
      <c r="F465">
        <v>4.21</v>
      </c>
      <c r="G465">
        <v>8.5399999999999991</v>
      </c>
      <c r="H465" s="46">
        <v>1637688</v>
      </c>
      <c r="I465" s="46">
        <v>1566389</v>
      </c>
      <c r="J465">
        <v>4.55</v>
      </c>
      <c r="K465">
        <v>1</v>
      </c>
    </row>
    <row r="466" spans="1:11" customFormat="1" hidden="1">
      <c r="A466">
        <v>3646</v>
      </c>
      <c r="B466" t="s">
        <v>1555</v>
      </c>
      <c r="C466" s="46">
        <v>49263</v>
      </c>
      <c r="D466" s="46">
        <v>45190</v>
      </c>
      <c r="E466" s="46">
        <v>32370</v>
      </c>
      <c r="F466">
        <v>9.01</v>
      </c>
      <c r="G466">
        <v>52.18</v>
      </c>
      <c r="H466" s="46">
        <v>496478</v>
      </c>
      <c r="I466" s="46">
        <v>545415</v>
      </c>
      <c r="J466">
        <v>-8.9700000000000006</v>
      </c>
      <c r="K466">
        <v>0</v>
      </c>
    </row>
    <row r="467" spans="1:11" customFormat="1" hidden="1">
      <c r="A467">
        <v>3642</v>
      </c>
      <c r="B467" t="s">
        <v>2104</v>
      </c>
      <c r="C467" s="46">
        <v>57794</v>
      </c>
      <c r="D467" s="46">
        <v>81211</v>
      </c>
      <c r="E467" s="46">
        <v>71609</v>
      </c>
      <c r="F467">
        <v>-28.83</v>
      </c>
      <c r="G467">
        <v>-19.29</v>
      </c>
      <c r="H467" s="46">
        <v>666388</v>
      </c>
      <c r="I467" s="46">
        <v>636693</v>
      </c>
      <c r="J467">
        <v>4.66</v>
      </c>
      <c r="K467">
        <v>0</v>
      </c>
    </row>
    <row r="468" spans="1:11" customFormat="1" hidden="1">
      <c r="A468">
        <v>3632</v>
      </c>
      <c r="B468" t="s">
        <v>1553</v>
      </c>
      <c r="C468" s="46">
        <v>102334</v>
      </c>
      <c r="D468" s="46">
        <v>154741</v>
      </c>
      <c r="E468" s="46">
        <v>94141</v>
      </c>
      <c r="F468">
        <v>-33.86</v>
      </c>
      <c r="G468">
        <v>8.6999999999999993</v>
      </c>
      <c r="H468" s="46">
        <v>1194825</v>
      </c>
      <c r="I468" s="46">
        <v>736892</v>
      </c>
      <c r="J468">
        <v>62.14</v>
      </c>
      <c r="K468">
        <v>0</v>
      </c>
    </row>
    <row r="469" spans="1:11" customFormat="1" hidden="1">
      <c r="A469">
        <v>3631</v>
      </c>
      <c r="B469" t="s">
        <v>359</v>
      </c>
      <c r="C469" s="46">
        <v>45364</v>
      </c>
      <c r="D469" s="46">
        <v>48390</v>
      </c>
      <c r="E469" s="46">
        <v>63586</v>
      </c>
      <c r="F469">
        <v>-6.25</v>
      </c>
      <c r="G469">
        <v>-28.65</v>
      </c>
      <c r="H469" s="46">
        <v>553567</v>
      </c>
      <c r="I469" s="46">
        <v>921714</v>
      </c>
      <c r="J469">
        <v>-39.94</v>
      </c>
      <c r="K469" s="286">
        <v>0</v>
      </c>
    </row>
    <row r="470" spans="1:11" customFormat="1" hidden="1">
      <c r="A470">
        <v>3630</v>
      </c>
      <c r="B470" t="s">
        <v>358</v>
      </c>
      <c r="C470" s="46">
        <v>104675</v>
      </c>
      <c r="D470" s="46">
        <v>98940</v>
      </c>
      <c r="E470" s="46">
        <v>91852</v>
      </c>
      <c r="F470">
        <v>5.79</v>
      </c>
      <c r="G470">
        <v>13.96</v>
      </c>
      <c r="H470" s="46">
        <v>821480</v>
      </c>
      <c r="I470" s="46">
        <v>1488316</v>
      </c>
      <c r="J470">
        <v>-44.8</v>
      </c>
      <c r="K470">
        <v>1</v>
      </c>
    </row>
    <row r="471" spans="1:11" customFormat="1" hidden="1">
      <c r="A471">
        <v>3629</v>
      </c>
      <c r="B471" t="s">
        <v>2209</v>
      </c>
      <c r="C471" s="46">
        <v>4553</v>
      </c>
      <c r="D471" s="46">
        <v>7029</v>
      </c>
      <c r="E471" s="46">
        <v>16344</v>
      </c>
      <c r="F471">
        <v>-35.22</v>
      </c>
      <c r="G471">
        <v>-72.14</v>
      </c>
      <c r="H471" s="46">
        <v>84754</v>
      </c>
      <c r="I471" s="46">
        <v>161770</v>
      </c>
      <c r="J471">
        <v>-47.6</v>
      </c>
      <c r="K471">
        <v>0</v>
      </c>
    </row>
    <row r="472" spans="1:11" customFormat="1" hidden="1">
      <c r="A472">
        <v>3628</v>
      </c>
      <c r="B472" t="s">
        <v>2268</v>
      </c>
      <c r="C472" s="46">
        <v>203034</v>
      </c>
      <c r="D472" s="46">
        <v>195021</v>
      </c>
      <c r="E472" s="46">
        <v>204569</v>
      </c>
      <c r="F472">
        <v>4.0999999999999996</v>
      </c>
      <c r="G472">
        <v>-0.75</v>
      </c>
      <c r="H472" s="46">
        <v>2241028</v>
      </c>
      <c r="I472" s="46">
        <v>2280901</v>
      </c>
      <c r="J472">
        <v>-1.74</v>
      </c>
      <c r="K472" s="286">
        <v>0</v>
      </c>
    </row>
    <row r="473" spans="1:11" customFormat="1" hidden="1">
      <c r="A473">
        <v>3625</v>
      </c>
      <c r="B473" t="s">
        <v>357</v>
      </c>
      <c r="C473" s="46">
        <v>70153</v>
      </c>
      <c r="D473" s="46">
        <v>79323</v>
      </c>
      <c r="E473" s="46">
        <v>52140</v>
      </c>
      <c r="F473">
        <v>-11.56</v>
      </c>
      <c r="G473">
        <v>34.54</v>
      </c>
      <c r="H473" s="46">
        <v>599951</v>
      </c>
      <c r="I473" s="46">
        <v>526510</v>
      </c>
      <c r="J473">
        <v>13.94</v>
      </c>
      <c r="K473" s="286">
        <v>1</v>
      </c>
    </row>
    <row r="474" spans="1:11" customFormat="1" hidden="1">
      <c r="A474">
        <v>3624</v>
      </c>
      <c r="B474" t="s">
        <v>356</v>
      </c>
      <c r="C474" s="46">
        <v>137265</v>
      </c>
      <c r="D474" s="46">
        <v>137068</v>
      </c>
      <c r="E474" s="46">
        <v>119338</v>
      </c>
      <c r="F474">
        <v>0.14000000000000001</v>
      </c>
      <c r="G474">
        <v>15.02</v>
      </c>
      <c r="H474" s="46">
        <v>1304977</v>
      </c>
      <c r="I474" s="46">
        <v>1208641</v>
      </c>
      <c r="J474">
        <v>7.97</v>
      </c>
      <c r="K474" s="286">
        <v>1</v>
      </c>
    </row>
    <row r="475" spans="1:11" customFormat="1" hidden="1">
      <c r="A475">
        <v>3623</v>
      </c>
      <c r="B475" t="s">
        <v>355</v>
      </c>
      <c r="C475" s="46">
        <v>80147</v>
      </c>
      <c r="D475" s="46">
        <v>85087</v>
      </c>
      <c r="E475" s="46">
        <v>93694</v>
      </c>
      <c r="F475">
        <v>-5.8</v>
      </c>
      <c r="G475">
        <v>-14.45</v>
      </c>
      <c r="H475" s="46">
        <v>826905</v>
      </c>
      <c r="I475" s="46">
        <v>993347</v>
      </c>
      <c r="J475">
        <v>-16.75</v>
      </c>
      <c r="K475">
        <v>0</v>
      </c>
    </row>
    <row r="476" spans="1:11" customFormat="1" hidden="1">
      <c r="A476">
        <v>3615</v>
      </c>
      <c r="B476" t="s">
        <v>2208</v>
      </c>
      <c r="C476" s="46">
        <v>60868</v>
      </c>
      <c r="D476" s="46">
        <v>64370</v>
      </c>
      <c r="E476" s="46">
        <v>78299</v>
      </c>
      <c r="F476">
        <v>-5.44</v>
      </c>
      <c r="G476">
        <v>-22.26</v>
      </c>
      <c r="H476" s="46">
        <v>601830</v>
      </c>
      <c r="I476" s="46">
        <v>563873</v>
      </c>
      <c r="J476">
        <v>6.73</v>
      </c>
      <c r="K476">
        <v>0</v>
      </c>
    </row>
    <row r="477" spans="1:11" customFormat="1" hidden="1">
      <c r="A477">
        <v>3611</v>
      </c>
      <c r="B477" t="s">
        <v>354</v>
      </c>
      <c r="C477" s="46">
        <v>246217</v>
      </c>
      <c r="D477" s="46">
        <v>206724</v>
      </c>
      <c r="E477" s="46">
        <v>203679</v>
      </c>
      <c r="F477">
        <v>19.100000000000001</v>
      </c>
      <c r="G477">
        <v>20.88</v>
      </c>
      <c r="H477" s="46">
        <v>2225213</v>
      </c>
      <c r="I477" s="46">
        <v>2009315</v>
      </c>
      <c r="J477">
        <v>10.74</v>
      </c>
      <c r="K477">
        <v>1</v>
      </c>
    </row>
    <row r="478" spans="1:11" customFormat="1" hidden="1">
      <c r="A478">
        <v>3609</v>
      </c>
      <c r="B478" t="s">
        <v>353</v>
      </c>
      <c r="C478" s="46">
        <v>64404</v>
      </c>
      <c r="D478" s="46">
        <v>60076</v>
      </c>
      <c r="E478" s="46">
        <v>62788</v>
      </c>
      <c r="F478">
        <v>7.2</v>
      </c>
      <c r="G478">
        <v>2.57</v>
      </c>
      <c r="H478" s="46">
        <v>673534</v>
      </c>
      <c r="I478" s="46">
        <v>690572</v>
      </c>
      <c r="J478">
        <v>-2.46</v>
      </c>
      <c r="K478" s="286">
        <v>0</v>
      </c>
    </row>
    <row r="479" spans="1:11" customFormat="1" hidden="1">
      <c r="A479">
        <v>3594</v>
      </c>
      <c r="B479" t="s">
        <v>352</v>
      </c>
      <c r="C479" s="46">
        <v>93237</v>
      </c>
      <c r="D479" s="46">
        <v>120697</v>
      </c>
      <c r="E479" s="46">
        <v>103344</v>
      </c>
      <c r="F479">
        <v>-22.75</v>
      </c>
      <c r="G479">
        <v>-9.77</v>
      </c>
      <c r="H479" s="46">
        <v>1041963</v>
      </c>
      <c r="I479" s="46">
        <v>1129977</v>
      </c>
      <c r="J479">
        <v>-7.78</v>
      </c>
      <c r="K479">
        <v>0</v>
      </c>
    </row>
    <row r="480" spans="1:11" customFormat="1" hidden="1">
      <c r="A480">
        <v>3587</v>
      </c>
      <c r="B480" t="s">
        <v>2103</v>
      </c>
      <c r="C480" s="46">
        <v>90094</v>
      </c>
      <c r="D480" s="46">
        <v>113365</v>
      </c>
      <c r="E480" s="46">
        <v>90834</v>
      </c>
      <c r="F480">
        <v>-20.52</v>
      </c>
      <c r="G480">
        <v>-0.81</v>
      </c>
      <c r="H480" s="46">
        <v>880657</v>
      </c>
      <c r="I480" s="46">
        <v>877473</v>
      </c>
      <c r="J480">
        <v>0.36</v>
      </c>
      <c r="K480" s="286">
        <v>0</v>
      </c>
    </row>
    <row r="481" spans="1:11" customFormat="1" hidden="1">
      <c r="A481">
        <v>3581</v>
      </c>
      <c r="B481" t="s">
        <v>2183</v>
      </c>
      <c r="C481" s="46">
        <v>66520</v>
      </c>
      <c r="D481" s="46">
        <v>54168</v>
      </c>
      <c r="E481" s="46">
        <v>70334</v>
      </c>
      <c r="F481">
        <v>22.8</v>
      </c>
      <c r="G481">
        <v>-5.42</v>
      </c>
      <c r="H481" s="46">
        <v>704096</v>
      </c>
      <c r="I481" s="46">
        <v>710667</v>
      </c>
      <c r="J481">
        <v>-0.92</v>
      </c>
      <c r="K481">
        <v>0</v>
      </c>
    </row>
    <row r="482" spans="1:11" customFormat="1" hidden="1">
      <c r="A482">
        <v>3580</v>
      </c>
      <c r="B482" t="s">
        <v>2267</v>
      </c>
      <c r="C482" s="46">
        <v>35794</v>
      </c>
      <c r="D482" s="46">
        <v>48242</v>
      </c>
      <c r="E482" s="46">
        <v>43854</v>
      </c>
      <c r="F482">
        <v>-25.8</v>
      </c>
      <c r="G482">
        <v>-18.37</v>
      </c>
      <c r="H482" s="46">
        <v>384504</v>
      </c>
      <c r="I482" s="46">
        <v>409533</v>
      </c>
      <c r="J482">
        <v>-6.11</v>
      </c>
      <c r="K482">
        <v>0</v>
      </c>
    </row>
    <row r="483" spans="1:11" customFormat="1" hidden="1">
      <c r="A483">
        <v>3577</v>
      </c>
      <c r="B483" t="s">
        <v>2033</v>
      </c>
      <c r="C483" s="46">
        <v>68793</v>
      </c>
      <c r="D483" s="46">
        <v>61664</v>
      </c>
      <c r="E483" s="46">
        <v>58201</v>
      </c>
      <c r="F483">
        <v>11.56</v>
      </c>
      <c r="G483">
        <v>18.190000000000001</v>
      </c>
      <c r="H483" s="46">
        <v>604421</v>
      </c>
      <c r="I483" s="46">
        <v>635917</v>
      </c>
      <c r="J483">
        <v>-4.95</v>
      </c>
      <c r="K483">
        <v>1</v>
      </c>
    </row>
    <row r="484" spans="1:11" customFormat="1" hidden="1">
      <c r="A484">
        <v>3570</v>
      </c>
      <c r="B484" t="s">
        <v>2253</v>
      </c>
      <c r="C484" s="46">
        <v>98230</v>
      </c>
      <c r="D484" s="46">
        <v>82968</v>
      </c>
      <c r="E484" s="46">
        <v>86047</v>
      </c>
      <c r="F484">
        <v>18.39</v>
      </c>
      <c r="G484">
        <v>14.15</v>
      </c>
      <c r="H484" s="46">
        <v>829279</v>
      </c>
      <c r="I484" s="46">
        <v>720361</v>
      </c>
      <c r="J484">
        <v>15.11</v>
      </c>
      <c r="K484" s="286">
        <v>1</v>
      </c>
    </row>
    <row r="485" spans="1:11" customFormat="1" hidden="1">
      <c r="A485">
        <v>3567</v>
      </c>
      <c r="B485" t="s">
        <v>2182</v>
      </c>
      <c r="C485" s="46">
        <v>28111</v>
      </c>
      <c r="D485" s="46">
        <v>27145</v>
      </c>
      <c r="E485" s="46">
        <v>30295</v>
      </c>
      <c r="F485">
        <v>3.55</v>
      </c>
      <c r="G485">
        <v>-7.2</v>
      </c>
      <c r="H485" s="46">
        <v>276322</v>
      </c>
      <c r="I485" s="46">
        <v>324641</v>
      </c>
      <c r="J485">
        <v>-14.88</v>
      </c>
      <c r="K485" s="286">
        <v>0</v>
      </c>
    </row>
    <row r="486" spans="1:11" customFormat="1" hidden="1">
      <c r="A486">
        <v>3564</v>
      </c>
      <c r="B486" t="s">
        <v>1543</v>
      </c>
      <c r="C486" s="46">
        <v>109915</v>
      </c>
      <c r="D486" s="46">
        <v>111085</v>
      </c>
      <c r="E486" s="46">
        <v>72201</v>
      </c>
      <c r="F486">
        <v>-1.05</v>
      </c>
      <c r="G486">
        <v>52.23</v>
      </c>
      <c r="H486" s="46">
        <v>1111008</v>
      </c>
      <c r="I486" s="46">
        <v>733095</v>
      </c>
      <c r="J486">
        <v>51.55</v>
      </c>
      <c r="K486">
        <v>0</v>
      </c>
    </row>
    <row r="487" spans="1:11" customFormat="1" hidden="1">
      <c r="A487">
        <v>3563</v>
      </c>
      <c r="B487" t="s">
        <v>351</v>
      </c>
      <c r="C487" s="46">
        <v>40163</v>
      </c>
      <c r="D487" s="46">
        <v>46937</v>
      </c>
      <c r="E487" s="46">
        <v>42509</v>
      </c>
      <c r="F487">
        <v>-14.43</v>
      </c>
      <c r="G487">
        <v>-5.51</v>
      </c>
      <c r="H487" s="46">
        <v>526223</v>
      </c>
      <c r="I487" s="46">
        <v>568795</v>
      </c>
      <c r="J487">
        <v>-7.48</v>
      </c>
      <c r="K487">
        <v>0</v>
      </c>
    </row>
    <row r="488" spans="1:11" customFormat="1" hidden="1">
      <c r="A488">
        <v>3562</v>
      </c>
      <c r="B488" t="s">
        <v>350</v>
      </c>
      <c r="C488" s="46">
        <v>81334</v>
      </c>
      <c r="D488" s="46">
        <v>97694</v>
      </c>
      <c r="E488" s="46">
        <v>101860</v>
      </c>
      <c r="F488">
        <v>-16.739999999999998</v>
      </c>
      <c r="G488">
        <v>-20.149999999999999</v>
      </c>
      <c r="H488" s="46">
        <v>816063</v>
      </c>
      <c r="I488" s="46">
        <v>1834596</v>
      </c>
      <c r="J488">
        <v>-55.51</v>
      </c>
      <c r="K488">
        <v>0</v>
      </c>
    </row>
    <row r="489" spans="1:11" customFormat="1" hidden="1">
      <c r="A489">
        <v>3558</v>
      </c>
      <c r="B489" t="s">
        <v>349</v>
      </c>
      <c r="C489" s="46">
        <v>631801</v>
      </c>
      <c r="D489" s="46">
        <v>702221</v>
      </c>
      <c r="E489" s="46">
        <v>520222</v>
      </c>
      <c r="F489">
        <v>-10.02</v>
      </c>
      <c r="G489">
        <v>21.44</v>
      </c>
      <c r="H489" s="46">
        <v>6438596</v>
      </c>
      <c r="I489" s="46">
        <v>5030501</v>
      </c>
      <c r="J489">
        <v>27.99</v>
      </c>
      <c r="K489">
        <v>0</v>
      </c>
    </row>
    <row r="490" spans="1:11" customFormat="1" hidden="1">
      <c r="A490">
        <v>3556</v>
      </c>
      <c r="B490" t="s">
        <v>348</v>
      </c>
      <c r="C490" s="46">
        <v>88356</v>
      </c>
      <c r="D490" s="46">
        <v>65508</v>
      </c>
      <c r="E490" s="46">
        <v>74942</v>
      </c>
      <c r="F490">
        <v>34.869999999999997</v>
      </c>
      <c r="G490">
        <v>17.89</v>
      </c>
      <c r="H490" s="46">
        <v>822573</v>
      </c>
      <c r="I490" s="46">
        <v>857005</v>
      </c>
      <c r="J490">
        <v>-4.01</v>
      </c>
      <c r="K490" s="286">
        <v>1</v>
      </c>
    </row>
    <row r="491" spans="1:11" customFormat="1" hidden="1">
      <c r="A491">
        <v>3555</v>
      </c>
      <c r="B491" t="s">
        <v>2011</v>
      </c>
      <c r="C491" s="46">
        <v>21828</v>
      </c>
      <c r="D491" s="46">
        <v>36290</v>
      </c>
      <c r="E491" s="46">
        <v>25537</v>
      </c>
      <c r="F491">
        <v>-39.85</v>
      </c>
      <c r="G491">
        <v>-14.52</v>
      </c>
      <c r="H491" s="46">
        <v>297237</v>
      </c>
      <c r="I491" s="46">
        <v>311173</v>
      </c>
      <c r="J491">
        <v>-4.47</v>
      </c>
      <c r="K491">
        <v>0</v>
      </c>
    </row>
    <row r="492" spans="1:11" customFormat="1" hidden="1">
      <c r="A492">
        <v>3553</v>
      </c>
      <c r="B492" t="s">
        <v>347</v>
      </c>
      <c r="C492" s="46">
        <v>203135</v>
      </c>
      <c r="D492" s="46">
        <v>190649</v>
      </c>
      <c r="E492" s="46">
        <v>232249</v>
      </c>
      <c r="F492">
        <v>6.54</v>
      </c>
      <c r="G492">
        <v>-12.53</v>
      </c>
      <c r="H492" s="46">
        <v>2095524</v>
      </c>
      <c r="I492" s="46">
        <v>2140459</v>
      </c>
      <c r="J492">
        <v>-2.09</v>
      </c>
      <c r="K492">
        <v>0</v>
      </c>
    </row>
    <row r="493" spans="1:11" customFormat="1">
      <c r="A493" s="62" t="str">
        <f>HYPERLINK("http://tw.stock.yahoo.com/q/ta?s=1570","1570")</f>
        <v>1570</v>
      </c>
      <c r="B493" s="62" t="str">
        <f>HYPERLINK("http://tw.stock.yahoo.com/d/s/earning_1570.html","力肯實業")</f>
        <v>力肯實業</v>
      </c>
      <c r="C493" s="46">
        <v>68644</v>
      </c>
      <c r="D493" s="46">
        <v>53218</v>
      </c>
      <c r="E493" s="46">
        <v>23921</v>
      </c>
      <c r="F493">
        <v>28.98</v>
      </c>
      <c r="G493">
        <v>186.96</v>
      </c>
      <c r="H493" s="46">
        <v>618870</v>
      </c>
      <c r="I493" s="46">
        <v>453662</v>
      </c>
      <c r="J493">
        <v>36.409999999999997</v>
      </c>
      <c r="K493">
        <v>1</v>
      </c>
    </row>
    <row r="494" spans="1:11" customFormat="1" hidden="1">
      <c r="A494">
        <v>3551</v>
      </c>
      <c r="B494" t="s">
        <v>346</v>
      </c>
      <c r="C494" s="46">
        <v>103024</v>
      </c>
      <c r="D494" s="46">
        <v>104792</v>
      </c>
      <c r="E494" s="46">
        <v>131204</v>
      </c>
      <c r="F494">
        <v>-1.68</v>
      </c>
      <c r="G494">
        <v>-21.47</v>
      </c>
      <c r="H494" s="46">
        <v>1147524</v>
      </c>
      <c r="I494" s="46">
        <v>1281923</v>
      </c>
      <c r="J494">
        <v>-10.48</v>
      </c>
      <c r="K494">
        <v>0</v>
      </c>
    </row>
    <row r="495" spans="1:11" customFormat="1" hidden="1">
      <c r="A495">
        <v>3548</v>
      </c>
      <c r="B495" t="s">
        <v>345</v>
      </c>
      <c r="C495" s="46">
        <v>417577</v>
      </c>
      <c r="D495" s="46">
        <v>383533</v>
      </c>
      <c r="E495" s="46">
        <v>357228</v>
      </c>
      <c r="F495">
        <v>8.8699999999999992</v>
      </c>
      <c r="G495">
        <v>16.89</v>
      </c>
      <c r="H495" s="46">
        <v>3077819</v>
      </c>
      <c r="I495" s="46">
        <v>3104292</v>
      </c>
      <c r="J495">
        <v>-0.85</v>
      </c>
      <c r="K495">
        <v>1</v>
      </c>
    </row>
    <row r="496" spans="1:11" customFormat="1" hidden="1">
      <c r="A496">
        <v>3546</v>
      </c>
      <c r="B496" t="s">
        <v>2134</v>
      </c>
      <c r="C496" s="46">
        <v>61465</v>
      </c>
      <c r="D496" s="46">
        <v>49028</v>
      </c>
      <c r="E496" s="46">
        <v>54991</v>
      </c>
      <c r="F496">
        <v>25.36</v>
      </c>
      <c r="G496">
        <v>11.77</v>
      </c>
      <c r="H496" s="46">
        <v>521156</v>
      </c>
      <c r="I496" s="46">
        <v>603583</v>
      </c>
      <c r="J496">
        <v>-13.65</v>
      </c>
      <c r="K496" s="286">
        <v>1</v>
      </c>
    </row>
    <row r="497" spans="1:11" customFormat="1" hidden="1">
      <c r="A497">
        <v>3541</v>
      </c>
      <c r="B497" t="s">
        <v>2102</v>
      </c>
      <c r="C497" s="46">
        <v>128283</v>
      </c>
      <c r="D497" s="46">
        <v>140313</v>
      </c>
      <c r="E497" s="46">
        <v>141226</v>
      </c>
      <c r="F497" s="276">
        <v>-8.57</v>
      </c>
      <c r="G497">
        <v>-9.16</v>
      </c>
      <c r="H497" s="46">
        <v>1132760</v>
      </c>
      <c r="I497" s="46">
        <v>1342052</v>
      </c>
      <c r="J497">
        <v>-15.59</v>
      </c>
      <c r="K497" s="286">
        <v>1</v>
      </c>
    </row>
    <row r="498" spans="1:11" customFormat="1" hidden="1">
      <c r="A498">
        <v>3540</v>
      </c>
      <c r="B498" t="s">
        <v>2190</v>
      </c>
      <c r="C498" s="46">
        <v>248997</v>
      </c>
      <c r="D498" s="46">
        <v>238686</v>
      </c>
      <c r="E498" s="46">
        <v>214470</v>
      </c>
      <c r="F498">
        <v>4.3099999999999996</v>
      </c>
      <c r="G498">
        <v>16.09</v>
      </c>
      <c r="H498" s="46">
        <v>2209396</v>
      </c>
      <c r="I498" s="46">
        <v>2604863</v>
      </c>
      <c r="J498">
        <v>-15.18</v>
      </c>
      <c r="K498" s="286">
        <v>1</v>
      </c>
    </row>
    <row r="499" spans="1:11" customFormat="1" hidden="1">
      <c r="A499">
        <v>3537</v>
      </c>
      <c r="B499" t="s">
        <v>344</v>
      </c>
      <c r="C499" s="46">
        <v>182176</v>
      </c>
      <c r="D499" s="46">
        <v>155754</v>
      </c>
      <c r="E499" s="46">
        <v>177912</v>
      </c>
      <c r="F499">
        <v>16.96</v>
      </c>
      <c r="G499">
        <v>2.39</v>
      </c>
      <c r="H499" s="46">
        <v>1631375</v>
      </c>
      <c r="I499" s="46">
        <v>1923204</v>
      </c>
      <c r="J499">
        <v>-15.17</v>
      </c>
      <c r="K499">
        <v>1</v>
      </c>
    </row>
    <row r="500" spans="1:11" customFormat="1" hidden="1">
      <c r="A500">
        <v>3531</v>
      </c>
      <c r="B500" t="s">
        <v>2040</v>
      </c>
      <c r="C500" s="46">
        <v>143329</v>
      </c>
      <c r="D500" s="46">
        <v>144120</v>
      </c>
      <c r="E500" s="46">
        <v>145346</v>
      </c>
      <c r="F500">
        <v>-0.54</v>
      </c>
      <c r="G500">
        <v>-1.38</v>
      </c>
      <c r="H500" s="46">
        <v>1472520</v>
      </c>
      <c r="I500" s="46">
        <v>1661493</v>
      </c>
      <c r="J500">
        <v>-11.37</v>
      </c>
      <c r="K500">
        <v>0</v>
      </c>
    </row>
    <row r="501" spans="1:11" customFormat="1" hidden="1">
      <c r="A501">
        <v>3529</v>
      </c>
      <c r="B501" t="s">
        <v>343</v>
      </c>
      <c r="C501" s="46">
        <v>225341</v>
      </c>
      <c r="D501" s="46">
        <v>13300</v>
      </c>
      <c r="E501" s="46">
        <v>197330</v>
      </c>
      <c r="F501" s="276">
        <v>1594.29</v>
      </c>
      <c r="G501">
        <v>14.19</v>
      </c>
      <c r="H501" s="46">
        <v>1016083</v>
      </c>
      <c r="I501" s="46">
        <v>943148</v>
      </c>
      <c r="J501">
        <v>7.73</v>
      </c>
      <c r="K501" s="286">
        <v>1</v>
      </c>
    </row>
    <row r="502" spans="1:11" customFormat="1" hidden="1">
      <c r="A502">
        <v>3528</v>
      </c>
      <c r="B502" t="s">
        <v>2249</v>
      </c>
      <c r="C502" s="46">
        <v>274785</v>
      </c>
      <c r="D502" s="46">
        <v>265816</v>
      </c>
      <c r="E502" s="46">
        <v>278561</v>
      </c>
      <c r="F502">
        <v>3.37</v>
      </c>
      <c r="G502">
        <v>-1.35</v>
      </c>
      <c r="H502" s="46">
        <v>2786395</v>
      </c>
      <c r="I502" s="46">
        <v>2718236</v>
      </c>
      <c r="J502">
        <v>2.5</v>
      </c>
      <c r="K502">
        <v>0</v>
      </c>
    </row>
    <row r="503" spans="1:11" customFormat="1" hidden="1">
      <c r="A503">
        <v>3527</v>
      </c>
      <c r="B503" t="s">
        <v>342</v>
      </c>
      <c r="C503" s="46">
        <v>156696</v>
      </c>
      <c r="D503" s="46">
        <v>190833</v>
      </c>
      <c r="E503" s="46">
        <v>175028</v>
      </c>
      <c r="F503">
        <v>-17.88</v>
      </c>
      <c r="G503">
        <v>-10.47</v>
      </c>
      <c r="H503" s="46">
        <v>1663682</v>
      </c>
      <c r="I503" s="46">
        <v>1737174</v>
      </c>
      <c r="J503">
        <v>-4.2300000000000004</v>
      </c>
      <c r="K503" s="286">
        <v>0</v>
      </c>
    </row>
    <row r="504" spans="1:11" customFormat="1" hidden="1">
      <c r="A504">
        <v>3526</v>
      </c>
      <c r="B504" t="s">
        <v>2067</v>
      </c>
      <c r="C504" s="46">
        <v>147623</v>
      </c>
      <c r="D504" s="46">
        <v>181316</v>
      </c>
      <c r="E504" s="46">
        <v>143620</v>
      </c>
      <c r="F504">
        <v>-18.579999999999998</v>
      </c>
      <c r="G504">
        <v>2.78</v>
      </c>
      <c r="H504" s="46">
        <v>1386027</v>
      </c>
      <c r="I504" s="46">
        <v>1403241</v>
      </c>
      <c r="J504">
        <v>-1.22</v>
      </c>
      <c r="K504">
        <v>1</v>
      </c>
    </row>
    <row r="505" spans="1:11" customFormat="1" hidden="1">
      <c r="A505">
        <v>3523</v>
      </c>
      <c r="B505" t="s">
        <v>2207</v>
      </c>
      <c r="C505" s="46">
        <v>73191</v>
      </c>
      <c r="D505" s="46">
        <v>56472</v>
      </c>
      <c r="E505" s="46">
        <v>111468</v>
      </c>
      <c r="F505">
        <v>29.6</v>
      </c>
      <c r="G505">
        <v>-34.33</v>
      </c>
      <c r="H505" s="46">
        <v>798543</v>
      </c>
      <c r="I505" s="46">
        <v>1274432</v>
      </c>
      <c r="J505">
        <v>-37.340000000000003</v>
      </c>
      <c r="K505">
        <v>0</v>
      </c>
    </row>
    <row r="506" spans="1:11" customFormat="1" hidden="1">
      <c r="A506">
        <v>3522</v>
      </c>
      <c r="B506" t="s">
        <v>341</v>
      </c>
      <c r="C506" s="46">
        <v>110721</v>
      </c>
      <c r="D506" s="46">
        <v>153649</v>
      </c>
      <c r="E506" s="46">
        <v>169104</v>
      </c>
      <c r="F506">
        <v>-27.93</v>
      </c>
      <c r="G506">
        <v>-34.520000000000003</v>
      </c>
      <c r="H506" s="46">
        <v>1318062</v>
      </c>
      <c r="I506" s="46">
        <v>1917634</v>
      </c>
      <c r="J506">
        <v>-31.26</v>
      </c>
      <c r="K506">
        <v>0</v>
      </c>
    </row>
    <row r="507" spans="1:11" customFormat="1">
      <c r="A507" s="62" t="str">
        <f>HYPERLINK("http://tw.stock.yahoo.com/q/ta?s=4739","4739")</f>
        <v>4739</v>
      </c>
      <c r="B507" s="62" t="str">
        <f>HYPERLINK("http://tw.stock.yahoo.com/d/s/earning_4739.html","康普材料")</f>
        <v>康普材料</v>
      </c>
      <c r="C507" s="46">
        <v>358894</v>
      </c>
      <c r="D507" s="46">
        <v>330605</v>
      </c>
      <c r="E507" s="46">
        <v>277259</v>
      </c>
      <c r="F507">
        <v>8.5500000000000007</v>
      </c>
      <c r="G507">
        <v>29.44</v>
      </c>
      <c r="H507" s="46">
        <v>3250561</v>
      </c>
      <c r="I507" s="46">
        <v>2430413</v>
      </c>
      <c r="J507">
        <v>33.74</v>
      </c>
      <c r="K507" s="286">
        <v>1</v>
      </c>
    </row>
    <row r="508" spans="1:11" customFormat="1" hidden="1">
      <c r="A508">
        <v>3520</v>
      </c>
      <c r="B508" t="s">
        <v>2066</v>
      </c>
      <c r="C508" s="46">
        <v>46959</v>
      </c>
      <c r="D508" s="46">
        <v>49682</v>
      </c>
      <c r="E508" s="46">
        <v>64054</v>
      </c>
      <c r="F508">
        <v>-5.48</v>
      </c>
      <c r="G508">
        <v>-26.68</v>
      </c>
      <c r="H508" s="46">
        <v>441914</v>
      </c>
      <c r="I508" s="46">
        <v>719120</v>
      </c>
      <c r="J508">
        <v>-38.54</v>
      </c>
      <c r="K508">
        <v>1</v>
      </c>
    </row>
    <row r="509" spans="1:11" customFormat="1" hidden="1">
      <c r="A509">
        <v>3516</v>
      </c>
      <c r="B509" t="s">
        <v>340</v>
      </c>
      <c r="C509" s="46">
        <v>64399</v>
      </c>
      <c r="D509" s="46">
        <v>67511</v>
      </c>
      <c r="E509" s="46">
        <v>51546</v>
      </c>
      <c r="F509">
        <v>-4.5999999999999996</v>
      </c>
      <c r="G509">
        <v>24.93</v>
      </c>
      <c r="H509" s="46">
        <v>608080</v>
      </c>
      <c r="I509" s="46">
        <v>645432</v>
      </c>
      <c r="J509">
        <v>-5.78</v>
      </c>
      <c r="K509">
        <v>1</v>
      </c>
    </row>
    <row r="510" spans="1:11" customFormat="1" hidden="1">
      <c r="A510">
        <v>3512</v>
      </c>
      <c r="B510" t="s">
        <v>1531</v>
      </c>
      <c r="C510" s="46">
        <v>105248</v>
      </c>
      <c r="D510" s="46">
        <v>137636</v>
      </c>
      <c r="E510" s="46">
        <v>54133</v>
      </c>
      <c r="F510">
        <v>-23.53</v>
      </c>
      <c r="G510">
        <v>94.42</v>
      </c>
      <c r="H510" s="46">
        <v>679651</v>
      </c>
      <c r="I510" s="46">
        <v>498056</v>
      </c>
      <c r="J510">
        <v>36.46</v>
      </c>
      <c r="K510">
        <v>1</v>
      </c>
    </row>
    <row r="511" spans="1:11" customFormat="1" hidden="1">
      <c r="A511">
        <v>3511</v>
      </c>
      <c r="B511" t="s">
        <v>2065</v>
      </c>
      <c r="C511" s="46">
        <v>90452</v>
      </c>
      <c r="D511" s="46">
        <v>116186</v>
      </c>
      <c r="E511" s="46">
        <v>96672</v>
      </c>
      <c r="F511">
        <v>-22.14</v>
      </c>
      <c r="G511">
        <v>-6.43</v>
      </c>
      <c r="H511" s="46">
        <v>998050</v>
      </c>
      <c r="I511" s="46">
        <v>631618</v>
      </c>
      <c r="J511">
        <v>58.01</v>
      </c>
      <c r="K511" s="286">
        <v>0</v>
      </c>
    </row>
    <row r="512" spans="1:11" customFormat="1" hidden="1">
      <c r="A512">
        <v>3508</v>
      </c>
      <c r="B512" t="s">
        <v>339</v>
      </c>
      <c r="C512" s="46">
        <v>210622</v>
      </c>
      <c r="D512" s="46">
        <v>295568</v>
      </c>
      <c r="E512" s="46">
        <v>360871</v>
      </c>
      <c r="F512">
        <v>-28.73</v>
      </c>
      <c r="G512">
        <v>-41.63</v>
      </c>
      <c r="H512" s="46">
        <v>2702283</v>
      </c>
      <c r="I512" s="46">
        <v>2958487</v>
      </c>
      <c r="J512">
        <v>-8.65</v>
      </c>
      <c r="K512" s="286">
        <v>0</v>
      </c>
    </row>
    <row r="513" spans="1:11" customFormat="1" hidden="1">
      <c r="A513">
        <v>3499</v>
      </c>
      <c r="B513" t="s">
        <v>338</v>
      </c>
      <c r="C513" s="46">
        <v>67668</v>
      </c>
      <c r="D513" s="46">
        <v>66336</v>
      </c>
      <c r="E513" s="46">
        <v>46114</v>
      </c>
      <c r="F513">
        <v>2</v>
      </c>
      <c r="G513">
        <v>46.74</v>
      </c>
      <c r="H513" s="46">
        <v>542166</v>
      </c>
      <c r="I513" s="46">
        <v>363081</v>
      </c>
      <c r="J513">
        <v>49.32</v>
      </c>
      <c r="K513">
        <v>1</v>
      </c>
    </row>
    <row r="514" spans="1:11" customFormat="1" hidden="1">
      <c r="A514">
        <v>3498</v>
      </c>
      <c r="B514" t="s">
        <v>2266</v>
      </c>
      <c r="C514" s="46">
        <v>326548</v>
      </c>
      <c r="D514" s="46">
        <v>350354</v>
      </c>
      <c r="E514" s="46">
        <v>339654</v>
      </c>
      <c r="F514">
        <v>-6.79</v>
      </c>
      <c r="G514">
        <v>-3.85</v>
      </c>
      <c r="H514" s="46">
        <v>2563593</v>
      </c>
      <c r="I514" s="46">
        <v>1927128</v>
      </c>
      <c r="J514">
        <v>33.020000000000003</v>
      </c>
      <c r="K514">
        <v>1</v>
      </c>
    </row>
    <row r="515" spans="1:11" customFormat="1" hidden="1">
      <c r="A515">
        <v>3492</v>
      </c>
      <c r="B515" t="s">
        <v>2231</v>
      </c>
      <c r="C515" s="46">
        <v>121362</v>
      </c>
      <c r="D515" s="46">
        <v>83941</v>
      </c>
      <c r="E515" s="46">
        <v>92862</v>
      </c>
      <c r="F515">
        <v>44.58</v>
      </c>
      <c r="G515">
        <v>30.69</v>
      </c>
      <c r="H515" s="46">
        <v>950995</v>
      </c>
      <c r="I515" s="46">
        <v>827060</v>
      </c>
      <c r="J515">
        <v>14.98</v>
      </c>
      <c r="K515" s="286">
        <v>1</v>
      </c>
    </row>
    <row r="516" spans="1:11" customFormat="1" hidden="1">
      <c r="A516">
        <v>3491</v>
      </c>
      <c r="B516" t="s">
        <v>2218</v>
      </c>
      <c r="C516" s="46">
        <v>130086</v>
      </c>
      <c r="D516" s="46">
        <v>137447</v>
      </c>
      <c r="E516" s="46">
        <v>111089</v>
      </c>
      <c r="F516">
        <v>-5.35</v>
      </c>
      <c r="G516">
        <v>17.100000000000001</v>
      </c>
      <c r="H516" s="46">
        <v>1183787</v>
      </c>
      <c r="I516" s="46">
        <v>1048789</v>
      </c>
      <c r="J516">
        <v>12.87</v>
      </c>
      <c r="K516">
        <v>1</v>
      </c>
    </row>
    <row r="517" spans="1:11" customFormat="1" hidden="1">
      <c r="A517">
        <v>3490</v>
      </c>
      <c r="B517" t="s">
        <v>337</v>
      </c>
      <c r="C517" s="46">
        <v>163722</v>
      </c>
      <c r="D517" s="46">
        <v>142307</v>
      </c>
      <c r="E517" s="46">
        <v>289820</v>
      </c>
      <c r="F517">
        <v>15.04</v>
      </c>
      <c r="G517">
        <v>-43.5</v>
      </c>
      <c r="H517" s="46">
        <v>2025371</v>
      </c>
      <c r="I517" s="46">
        <v>1465116</v>
      </c>
      <c r="J517">
        <v>38.229999999999997</v>
      </c>
      <c r="K517">
        <v>0</v>
      </c>
    </row>
    <row r="518" spans="1:11" customFormat="1" hidden="1">
      <c r="A518">
        <v>3489</v>
      </c>
      <c r="B518" t="s">
        <v>336</v>
      </c>
      <c r="C518" s="46">
        <v>92575</v>
      </c>
      <c r="D518" s="46">
        <v>110191</v>
      </c>
      <c r="E518" s="46">
        <v>43725</v>
      </c>
      <c r="F518">
        <v>-15.98</v>
      </c>
      <c r="G518">
        <v>111.72</v>
      </c>
      <c r="H518" s="46">
        <v>619188</v>
      </c>
      <c r="I518" s="46">
        <v>628327</v>
      </c>
      <c r="J518">
        <v>-1.45</v>
      </c>
      <c r="K518" s="286">
        <v>1</v>
      </c>
    </row>
    <row r="519" spans="1:11" customFormat="1" hidden="1">
      <c r="A519">
        <v>3484</v>
      </c>
      <c r="B519" t="s">
        <v>335</v>
      </c>
      <c r="C519" s="46">
        <v>279745</v>
      </c>
      <c r="D519" s="46">
        <v>280309</v>
      </c>
      <c r="E519" s="46">
        <v>287765</v>
      </c>
      <c r="F519">
        <v>-0.2</v>
      </c>
      <c r="G519">
        <v>-2.78</v>
      </c>
      <c r="H519" s="46">
        <v>2704570</v>
      </c>
      <c r="I519" s="46">
        <v>2627393</v>
      </c>
      <c r="J519">
        <v>2.93</v>
      </c>
      <c r="K519" s="286">
        <v>0</v>
      </c>
    </row>
    <row r="520" spans="1:11" customFormat="1" hidden="1">
      <c r="A520">
        <v>3483</v>
      </c>
      <c r="B520" t="s">
        <v>334</v>
      </c>
      <c r="C520" s="46">
        <v>276116</v>
      </c>
      <c r="D520" s="46">
        <v>315998</v>
      </c>
      <c r="E520" s="46">
        <v>238987</v>
      </c>
      <c r="F520">
        <v>-12.62</v>
      </c>
      <c r="G520">
        <v>15.53</v>
      </c>
      <c r="H520" s="46">
        <v>2158443</v>
      </c>
      <c r="I520" s="46">
        <v>2457813</v>
      </c>
      <c r="J520">
        <v>-12.18</v>
      </c>
      <c r="K520">
        <v>1</v>
      </c>
    </row>
    <row r="521" spans="1:11" customFormat="1" hidden="1">
      <c r="A521">
        <v>3479</v>
      </c>
      <c r="B521" t="s">
        <v>2189</v>
      </c>
      <c r="C521" s="46">
        <v>430053</v>
      </c>
      <c r="D521" s="46">
        <v>461833</v>
      </c>
      <c r="E521" s="46">
        <v>351784</v>
      </c>
      <c r="F521">
        <v>-6.88</v>
      </c>
      <c r="G521">
        <v>22.24</v>
      </c>
      <c r="H521" s="46">
        <v>3519560</v>
      </c>
      <c r="I521" s="46">
        <v>3025642</v>
      </c>
      <c r="J521">
        <v>16.32</v>
      </c>
      <c r="K521">
        <v>1</v>
      </c>
    </row>
    <row r="522" spans="1:11" customFormat="1" hidden="1">
      <c r="A522">
        <v>3466</v>
      </c>
      <c r="B522" t="s">
        <v>333</v>
      </c>
      <c r="C522" s="46">
        <v>80996</v>
      </c>
      <c r="D522" s="46">
        <v>119978</v>
      </c>
      <c r="E522" s="46">
        <v>69779</v>
      </c>
      <c r="F522">
        <v>-32.49</v>
      </c>
      <c r="G522">
        <v>16.07</v>
      </c>
      <c r="H522" s="46">
        <v>1302861</v>
      </c>
      <c r="I522" s="46">
        <v>1919927</v>
      </c>
      <c r="J522">
        <v>-32.14</v>
      </c>
      <c r="K522">
        <v>0</v>
      </c>
    </row>
    <row r="523" spans="1:11" customFormat="1" hidden="1">
      <c r="A523">
        <v>3465</v>
      </c>
      <c r="B523" t="s">
        <v>2145</v>
      </c>
      <c r="C523" s="46">
        <v>18588</v>
      </c>
      <c r="D523" s="46">
        <v>7070</v>
      </c>
      <c r="E523" s="46">
        <v>40256</v>
      </c>
      <c r="F523">
        <v>162.91</v>
      </c>
      <c r="G523">
        <v>-53.82</v>
      </c>
      <c r="H523" s="46">
        <v>154086</v>
      </c>
      <c r="I523" s="46">
        <v>368091</v>
      </c>
      <c r="J523">
        <v>-58.13</v>
      </c>
      <c r="K523">
        <v>1</v>
      </c>
    </row>
    <row r="524" spans="1:11" customFormat="1" hidden="1">
      <c r="A524">
        <v>3455</v>
      </c>
      <c r="B524" t="s">
        <v>332</v>
      </c>
      <c r="C524" s="46">
        <v>115753</v>
      </c>
      <c r="D524" s="46">
        <v>91024</v>
      </c>
      <c r="E524" s="46">
        <v>240227</v>
      </c>
      <c r="F524">
        <v>27.16</v>
      </c>
      <c r="G524">
        <v>-51.81</v>
      </c>
      <c r="H524" s="46">
        <v>947374</v>
      </c>
      <c r="I524" s="46">
        <v>1130341</v>
      </c>
      <c r="J524">
        <v>-16.18</v>
      </c>
      <c r="K524">
        <v>1</v>
      </c>
    </row>
    <row r="525" spans="1:11" customFormat="1" hidden="1">
      <c r="A525">
        <v>3452</v>
      </c>
      <c r="B525" t="s">
        <v>2039</v>
      </c>
      <c r="C525" s="46">
        <v>422166</v>
      </c>
      <c r="D525" s="46">
        <v>431166</v>
      </c>
      <c r="E525" s="46">
        <v>272302</v>
      </c>
      <c r="F525">
        <v>-2.08</v>
      </c>
      <c r="G525">
        <v>55.03</v>
      </c>
      <c r="H525" s="46">
        <v>3488891</v>
      </c>
      <c r="I525" s="46">
        <v>3795052</v>
      </c>
      <c r="J525">
        <v>-8.06</v>
      </c>
      <c r="K525">
        <v>1</v>
      </c>
    </row>
    <row r="526" spans="1:11" customFormat="1" hidden="1">
      <c r="A526">
        <v>3444</v>
      </c>
      <c r="B526" t="s">
        <v>2248</v>
      </c>
      <c r="C526" s="46">
        <v>77857</v>
      </c>
      <c r="D526" s="46">
        <v>74674</v>
      </c>
      <c r="E526" s="46">
        <v>88773</v>
      </c>
      <c r="F526">
        <v>4.26</v>
      </c>
      <c r="G526">
        <v>-12.29</v>
      </c>
      <c r="H526" s="46">
        <v>821502</v>
      </c>
      <c r="I526" s="46">
        <v>919786</v>
      </c>
      <c r="J526">
        <v>-10.68</v>
      </c>
      <c r="K526">
        <v>0</v>
      </c>
    </row>
    <row r="527" spans="1:11" customFormat="1" hidden="1">
      <c r="A527">
        <v>3441</v>
      </c>
      <c r="B527" t="s">
        <v>2038</v>
      </c>
      <c r="C527" s="46">
        <v>43931</v>
      </c>
      <c r="D527" s="46">
        <v>55354</v>
      </c>
      <c r="E527" s="46">
        <v>81308</v>
      </c>
      <c r="F527">
        <v>-20.63</v>
      </c>
      <c r="G527">
        <v>-45.96</v>
      </c>
      <c r="H527" s="46">
        <v>580006</v>
      </c>
      <c r="I527" s="46">
        <v>652695</v>
      </c>
      <c r="J527">
        <v>-11.13</v>
      </c>
      <c r="K527">
        <v>0</v>
      </c>
    </row>
    <row r="528" spans="1:11" customFormat="1" hidden="1">
      <c r="A528">
        <v>3438</v>
      </c>
      <c r="B528" t="s">
        <v>2010</v>
      </c>
      <c r="C528" s="46">
        <v>75508</v>
      </c>
      <c r="D528" s="46">
        <v>68983</v>
      </c>
      <c r="E528" s="46">
        <v>91792</v>
      </c>
      <c r="F528">
        <v>9.4499999999999993</v>
      </c>
      <c r="G528">
        <v>-17.739999999999998</v>
      </c>
      <c r="H528" s="46">
        <v>742472</v>
      </c>
      <c r="I528" s="46">
        <v>884540</v>
      </c>
      <c r="J528">
        <v>-16.059999999999999</v>
      </c>
      <c r="K528" s="286">
        <v>0</v>
      </c>
    </row>
    <row r="529" spans="1:11" customFormat="1" hidden="1">
      <c r="A529">
        <v>3434</v>
      </c>
      <c r="B529" t="s">
        <v>331</v>
      </c>
      <c r="C529" s="46">
        <v>58460</v>
      </c>
      <c r="D529" s="46">
        <v>73012</v>
      </c>
      <c r="E529" s="46">
        <v>62961</v>
      </c>
      <c r="F529">
        <v>-19.93</v>
      </c>
      <c r="G529">
        <v>-7.14</v>
      </c>
      <c r="H529" s="46">
        <v>567944</v>
      </c>
      <c r="I529" s="46">
        <v>575352</v>
      </c>
      <c r="J529">
        <v>-1.28</v>
      </c>
      <c r="K529">
        <v>0</v>
      </c>
    </row>
    <row r="530" spans="1:11" customFormat="1" hidden="1">
      <c r="A530">
        <v>3431</v>
      </c>
      <c r="B530" t="s">
        <v>2217</v>
      </c>
      <c r="C530" s="46">
        <v>25750</v>
      </c>
      <c r="D530" s="46">
        <v>45793</v>
      </c>
      <c r="E530" s="46">
        <v>68605</v>
      </c>
      <c r="F530">
        <v>-43.76</v>
      </c>
      <c r="G530">
        <v>-62.46</v>
      </c>
      <c r="H530" s="46">
        <v>439950</v>
      </c>
      <c r="I530" s="46">
        <v>714169</v>
      </c>
      <c r="J530">
        <v>-38.39</v>
      </c>
      <c r="K530">
        <v>0</v>
      </c>
    </row>
    <row r="531" spans="1:11" customFormat="1" hidden="1">
      <c r="A531">
        <v>3428</v>
      </c>
      <c r="B531" t="s">
        <v>330</v>
      </c>
      <c r="C531" s="46">
        <v>160890</v>
      </c>
      <c r="D531" s="46">
        <v>201174</v>
      </c>
      <c r="E531" s="46">
        <v>120245</v>
      </c>
      <c r="F531">
        <v>-20.02</v>
      </c>
      <c r="G531">
        <v>33.799999999999997</v>
      </c>
      <c r="H531" s="46">
        <v>1536330</v>
      </c>
      <c r="I531" s="46">
        <v>1165131</v>
      </c>
      <c r="J531">
        <v>31.85</v>
      </c>
      <c r="K531">
        <v>0</v>
      </c>
    </row>
    <row r="532" spans="1:11" customFormat="1">
      <c r="A532" s="62" t="str">
        <f>HYPERLINK("http://tw.stock.yahoo.com/q/ta?s=4180","4180")</f>
        <v>4180</v>
      </c>
      <c r="B532" s="62" t="str">
        <f>HYPERLINK("http://tw.stock.yahoo.com/d/s/earning_4180.html","安成藥業")</f>
        <v>安成藥業</v>
      </c>
      <c r="C532" s="46">
        <v>63540</v>
      </c>
      <c r="D532" s="46">
        <v>47873</v>
      </c>
      <c r="E532" s="46">
        <v>15545</v>
      </c>
      <c r="F532">
        <v>32.72</v>
      </c>
      <c r="G532">
        <v>308.74</v>
      </c>
      <c r="H532" s="46">
        <v>361791</v>
      </c>
      <c r="I532" s="46">
        <v>273991</v>
      </c>
      <c r="J532">
        <v>32.04</v>
      </c>
      <c r="K532">
        <v>1</v>
      </c>
    </row>
    <row r="533" spans="1:11" customFormat="1" hidden="1">
      <c r="A533">
        <v>3390</v>
      </c>
      <c r="B533" t="s">
        <v>1518</v>
      </c>
      <c r="C533" s="46">
        <v>61098</v>
      </c>
      <c r="D533" s="46">
        <v>56779</v>
      </c>
      <c r="E533" s="46">
        <v>94570</v>
      </c>
      <c r="F533">
        <v>7.6</v>
      </c>
      <c r="G533">
        <v>-35.39</v>
      </c>
      <c r="H533" s="46">
        <v>671345</v>
      </c>
      <c r="I533" s="46">
        <v>1128192</v>
      </c>
      <c r="J533">
        <v>-40.49</v>
      </c>
      <c r="K533" s="286">
        <v>0</v>
      </c>
    </row>
    <row r="534" spans="1:11" customFormat="1" hidden="1">
      <c r="A534">
        <v>3388</v>
      </c>
      <c r="B534" t="s">
        <v>329</v>
      </c>
      <c r="C534" s="46">
        <v>590632</v>
      </c>
      <c r="D534" s="46">
        <v>588410</v>
      </c>
      <c r="E534" s="46">
        <v>665570</v>
      </c>
      <c r="F534">
        <v>0.37</v>
      </c>
      <c r="G534">
        <v>-11.25</v>
      </c>
      <c r="H534" s="46">
        <v>5892883</v>
      </c>
      <c r="I534" s="46">
        <v>6273529</v>
      </c>
      <c r="J534">
        <v>-6.06</v>
      </c>
      <c r="K534">
        <v>0</v>
      </c>
    </row>
    <row r="535" spans="1:11" customFormat="1" hidden="1">
      <c r="A535">
        <v>3379</v>
      </c>
      <c r="B535" t="s">
        <v>2160</v>
      </c>
      <c r="C535" s="46">
        <v>71276</v>
      </c>
      <c r="D535" s="46">
        <v>92382</v>
      </c>
      <c r="E535" s="46">
        <v>35785</v>
      </c>
      <c r="F535">
        <v>-22.84</v>
      </c>
      <c r="G535">
        <v>99.17</v>
      </c>
      <c r="H535" s="46">
        <v>891290</v>
      </c>
      <c r="I535" s="46">
        <v>782102</v>
      </c>
      <c r="J535">
        <v>13.96</v>
      </c>
      <c r="K535" s="286">
        <v>0</v>
      </c>
    </row>
    <row r="536" spans="1:11" customFormat="1" hidden="1">
      <c r="A536">
        <v>3374</v>
      </c>
      <c r="B536" t="s">
        <v>328</v>
      </c>
      <c r="C536" s="46">
        <v>358576</v>
      </c>
      <c r="D536" s="46">
        <v>387218</v>
      </c>
      <c r="E536" s="46">
        <v>435661</v>
      </c>
      <c r="F536">
        <v>-7.39</v>
      </c>
      <c r="G536">
        <v>-17.690000000000001</v>
      </c>
      <c r="H536" s="46">
        <v>4210630</v>
      </c>
      <c r="I536" s="46">
        <v>3932117</v>
      </c>
      <c r="J536">
        <v>7.08</v>
      </c>
      <c r="K536">
        <v>0</v>
      </c>
    </row>
    <row r="537" spans="1:11" customFormat="1" hidden="1">
      <c r="A537">
        <v>3373</v>
      </c>
      <c r="B537" t="s">
        <v>327</v>
      </c>
      <c r="C537" s="46">
        <v>84582</v>
      </c>
      <c r="D537" s="46">
        <v>83193</v>
      </c>
      <c r="E537" s="46">
        <v>63656</v>
      </c>
      <c r="F537">
        <v>1.66</v>
      </c>
      <c r="G537">
        <v>32.869999999999997</v>
      </c>
      <c r="H537" s="46">
        <v>748919</v>
      </c>
      <c r="I537" s="46">
        <v>607814</v>
      </c>
      <c r="J537">
        <v>23.21</v>
      </c>
      <c r="K537" s="286">
        <v>1</v>
      </c>
    </row>
    <row r="538" spans="1:11" customFormat="1" hidden="1">
      <c r="A538">
        <v>3372</v>
      </c>
      <c r="B538" t="s">
        <v>326</v>
      </c>
      <c r="C538" s="46">
        <v>121657</v>
      </c>
      <c r="D538" s="46">
        <v>151980</v>
      </c>
      <c r="E538" s="46">
        <v>219669</v>
      </c>
      <c r="F538">
        <v>-19.95</v>
      </c>
      <c r="G538">
        <v>-44.61</v>
      </c>
      <c r="H538" s="46">
        <v>1529994</v>
      </c>
      <c r="I538" s="46">
        <v>1855502</v>
      </c>
      <c r="J538">
        <v>-17.54</v>
      </c>
      <c r="K538">
        <v>0</v>
      </c>
    </row>
    <row r="539" spans="1:11" customFormat="1" hidden="1">
      <c r="A539">
        <v>3363</v>
      </c>
      <c r="B539" t="s">
        <v>325</v>
      </c>
      <c r="C539" s="46">
        <v>66965</v>
      </c>
      <c r="D539" s="46">
        <v>74307</v>
      </c>
      <c r="E539" s="46">
        <v>71656</v>
      </c>
      <c r="F539">
        <v>-9.8800000000000008</v>
      </c>
      <c r="G539">
        <v>-6.54</v>
      </c>
      <c r="H539" s="46">
        <v>772010</v>
      </c>
      <c r="I539" s="46">
        <v>779445</v>
      </c>
      <c r="J539">
        <v>-0.95</v>
      </c>
      <c r="K539">
        <v>0</v>
      </c>
    </row>
    <row r="540" spans="1:11" customFormat="1" hidden="1">
      <c r="A540">
        <v>3362</v>
      </c>
      <c r="B540" t="s">
        <v>2206</v>
      </c>
      <c r="C540" s="46">
        <v>106609</v>
      </c>
      <c r="D540" s="46">
        <v>105522</v>
      </c>
      <c r="E540" s="46">
        <v>112318</v>
      </c>
      <c r="F540">
        <v>1.03</v>
      </c>
      <c r="G540">
        <v>-5.08</v>
      </c>
      <c r="H540" s="46">
        <v>1023835</v>
      </c>
      <c r="I540" s="46">
        <v>1225002</v>
      </c>
      <c r="J540">
        <v>-16.420000000000002</v>
      </c>
      <c r="K540" s="286">
        <v>0</v>
      </c>
    </row>
    <row r="541" spans="1:11" customFormat="1" hidden="1">
      <c r="A541">
        <v>3360</v>
      </c>
      <c r="B541" t="s">
        <v>324</v>
      </c>
      <c r="C541" s="46">
        <v>1033336</v>
      </c>
      <c r="D541" s="46">
        <v>1215858</v>
      </c>
      <c r="E541" s="46">
        <v>1109344</v>
      </c>
      <c r="F541">
        <v>-15.01</v>
      </c>
      <c r="G541">
        <v>-6.85</v>
      </c>
      <c r="H541" s="46">
        <v>9407957</v>
      </c>
      <c r="I541" s="46">
        <v>10166516</v>
      </c>
      <c r="J541">
        <v>-7.46</v>
      </c>
      <c r="K541" s="286">
        <v>1</v>
      </c>
    </row>
    <row r="542" spans="1:11" customFormat="1" hidden="1">
      <c r="A542">
        <v>3354</v>
      </c>
      <c r="B542" t="s">
        <v>2230</v>
      </c>
      <c r="C542" s="46">
        <v>49189</v>
      </c>
      <c r="D542" s="46">
        <v>45841</v>
      </c>
      <c r="E542" s="46">
        <v>60264</v>
      </c>
      <c r="F542">
        <v>7.3</v>
      </c>
      <c r="G542">
        <v>-18.37</v>
      </c>
      <c r="H542" s="46">
        <v>473440</v>
      </c>
      <c r="I542" s="46">
        <v>692021</v>
      </c>
      <c r="J542">
        <v>-31.58</v>
      </c>
      <c r="K542" s="286">
        <v>0</v>
      </c>
    </row>
    <row r="543" spans="1:11" customFormat="1" hidden="1">
      <c r="A543">
        <v>3339</v>
      </c>
      <c r="B543" t="s">
        <v>2205</v>
      </c>
      <c r="C543" s="46">
        <v>74640</v>
      </c>
      <c r="D543" s="46">
        <v>90980</v>
      </c>
      <c r="E543" s="46">
        <v>155126</v>
      </c>
      <c r="F543">
        <v>-17.95</v>
      </c>
      <c r="G543">
        <v>-51.88</v>
      </c>
      <c r="H543" s="46">
        <v>932198</v>
      </c>
      <c r="I543" s="46">
        <v>1718492</v>
      </c>
      <c r="J543">
        <v>-45.75</v>
      </c>
      <c r="K543">
        <v>0</v>
      </c>
    </row>
    <row r="544" spans="1:11" customFormat="1" hidden="1">
      <c r="A544">
        <v>3332</v>
      </c>
      <c r="B544" t="s">
        <v>323</v>
      </c>
      <c r="C544" s="46">
        <v>97359</v>
      </c>
      <c r="D544" s="46">
        <v>94812</v>
      </c>
      <c r="E544" s="46">
        <v>92921</v>
      </c>
      <c r="F544">
        <v>2.68</v>
      </c>
      <c r="G544">
        <v>4.7699999999999996</v>
      </c>
      <c r="H544" s="46">
        <v>972777</v>
      </c>
      <c r="I544" s="46">
        <v>997706</v>
      </c>
      <c r="J544">
        <v>-2.4900000000000002</v>
      </c>
      <c r="K544">
        <v>0</v>
      </c>
    </row>
    <row r="545" spans="1:11" customFormat="1" hidden="1">
      <c r="A545">
        <v>3325</v>
      </c>
      <c r="B545" t="s">
        <v>2188</v>
      </c>
      <c r="C545" s="46">
        <v>134500</v>
      </c>
      <c r="D545" s="46">
        <v>137270</v>
      </c>
      <c r="E545" s="46">
        <v>88226</v>
      </c>
      <c r="F545" s="276">
        <v>-2.0099999999999998</v>
      </c>
      <c r="G545">
        <v>52.44</v>
      </c>
      <c r="H545" s="46">
        <v>1084586</v>
      </c>
      <c r="I545" s="46">
        <v>1144778</v>
      </c>
      <c r="J545">
        <v>-5.25</v>
      </c>
      <c r="K545">
        <v>1</v>
      </c>
    </row>
    <row r="546" spans="1:11" customFormat="1" hidden="1">
      <c r="A546">
        <v>3324</v>
      </c>
      <c r="B546" t="s">
        <v>2265</v>
      </c>
      <c r="C546" s="46">
        <v>436487</v>
      </c>
      <c r="D546" s="46">
        <v>530311</v>
      </c>
      <c r="E546" s="46">
        <v>389882</v>
      </c>
      <c r="F546">
        <v>-17.690000000000001</v>
      </c>
      <c r="G546">
        <v>11.95</v>
      </c>
      <c r="H546" s="46">
        <v>3812381</v>
      </c>
      <c r="I546" s="46">
        <v>3372511</v>
      </c>
      <c r="J546">
        <v>13.04</v>
      </c>
      <c r="K546" s="286">
        <v>1</v>
      </c>
    </row>
    <row r="547" spans="1:11" customFormat="1" hidden="1">
      <c r="A547">
        <v>3323</v>
      </c>
      <c r="B547" t="s">
        <v>322</v>
      </c>
      <c r="C547" s="46">
        <v>411201</v>
      </c>
      <c r="D547" s="46">
        <v>487803</v>
      </c>
      <c r="E547" s="46">
        <v>526845</v>
      </c>
      <c r="F547">
        <v>-15.7</v>
      </c>
      <c r="G547">
        <v>-21.95</v>
      </c>
      <c r="H547" s="46">
        <v>3997742</v>
      </c>
      <c r="I547" s="46">
        <v>3787611</v>
      </c>
      <c r="J547">
        <v>5.54</v>
      </c>
      <c r="K547">
        <v>0</v>
      </c>
    </row>
    <row r="548" spans="1:11" customFormat="1" hidden="1">
      <c r="A548">
        <v>3322</v>
      </c>
      <c r="B548" t="s">
        <v>2064</v>
      </c>
      <c r="C548" s="46">
        <v>181970</v>
      </c>
      <c r="D548" s="46">
        <v>209711</v>
      </c>
      <c r="E548" s="46">
        <v>208380</v>
      </c>
      <c r="F548">
        <v>-13.22</v>
      </c>
      <c r="G548">
        <v>-12.67</v>
      </c>
      <c r="H548" s="46">
        <v>1697416</v>
      </c>
      <c r="I548" s="46">
        <v>1954584</v>
      </c>
      <c r="J548">
        <v>-13.15</v>
      </c>
      <c r="K548" s="286">
        <v>1</v>
      </c>
    </row>
    <row r="549" spans="1:11" customFormat="1" hidden="1">
      <c r="A549">
        <v>3317</v>
      </c>
      <c r="B549" t="s">
        <v>2009</v>
      </c>
      <c r="C549" s="46">
        <v>183137</v>
      </c>
      <c r="D549" s="46">
        <v>229544</v>
      </c>
      <c r="E549" s="46">
        <v>159619</v>
      </c>
      <c r="F549">
        <v>-20.21</v>
      </c>
      <c r="G549">
        <v>14.73</v>
      </c>
      <c r="H549" s="46">
        <v>1615375</v>
      </c>
      <c r="I549" s="46">
        <v>2007897</v>
      </c>
      <c r="J549">
        <v>-19.54</v>
      </c>
      <c r="K549">
        <v>1</v>
      </c>
    </row>
    <row r="550" spans="1:11" customFormat="1" hidden="1">
      <c r="A550">
        <v>3313</v>
      </c>
      <c r="B550" t="s">
        <v>321</v>
      </c>
      <c r="C550" s="46">
        <v>125231</v>
      </c>
      <c r="D550" s="46">
        <v>164192</v>
      </c>
      <c r="E550" s="46">
        <v>176868</v>
      </c>
      <c r="F550">
        <v>-23.72</v>
      </c>
      <c r="G550">
        <v>-29.19</v>
      </c>
      <c r="H550" s="46">
        <v>1414880</v>
      </c>
      <c r="I550" s="46">
        <v>1616471</v>
      </c>
      <c r="J550">
        <v>-12.47</v>
      </c>
      <c r="K550" s="286">
        <v>0</v>
      </c>
    </row>
    <row r="551" spans="1:11" customFormat="1" hidden="1">
      <c r="A551">
        <v>3310</v>
      </c>
      <c r="B551" t="s">
        <v>2063</v>
      </c>
      <c r="C551" s="46">
        <v>33780</v>
      </c>
      <c r="D551" s="46">
        <v>32217</v>
      </c>
      <c r="E551" s="46">
        <v>40551</v>
      </c>
      <c r="F551">
        <v>4.8499999999999996</v>
      </c>
      <c r="G551">
        <v>-16.690000000000001</v>
      </c>
      <c r="H551" s="46">
        <v>381210</v>
      </c>
      <c r="I551" s="46">
        <v>356933</v>
      </c>
      <c r="J551">
        <v>6.8</v>
      </c>
      <c r="K551" s="286">
        <v>0</v>
      </c>
    </row>
    <row r="552" spans="1:11" customFormat="1" hidden="1">
      <c r="A552">
        <v>3306</v>
      </c>
      <c r="B552" t="s">
        <v>2216</v>
      </c>
      <c r="C552" s="46">
        <v>124010</v>
      </c>
      <c r="D552" s="46">
        <v>131213</v>
      </c>
      <c r="E552" s="46">
        <v>123102</v>
      </c>
      <c r="F552">
        <v>-5.48</v>
      </c>
      <c r="G552">
        <v>0.73</v>
      </c>
      <c r="H552" s="46">
        <v>1095140</v>
      </c>
      <c r="I552" s="46">
        <v>1138277</v>
      </c>
      <c r="J552">
        <v>-3.78</v>
      </c>
      <c r="K552">
        <v>1</v>
      </c>
    </row>
    <row r="553" spans="1:11" customFormat="1" hidden="1">
      <c r="A553">
        <v>3303</v>
      </c>
      <c r="B553" t="s">
        <v>320</v>
      </c>
      <c r="C553" s="46">
        <v>217435</v>
      </c>
      <c r="D553" s="46">
        <v>248931</v>
      </c>
      <c r="E553" s="46">
        <v>206713</v>
      </c>
      <c r="F553">
        <v>-12.65</v>
      </c>
      <c r="G553" s="276">
        <v>5.18</v>
      </c>
      <c r="H553" s="46">
        <v>1992541</v>
      </c>
      <c r="I553" s="46">
        <v>2325678</v>
      </c>
      <c r="J553">
        <v>-14.32</v>
      </c>
      <c r="K553">
        <v>1</v>
      </c>
    </row>
    <row r="554" spans="1:11" customFormat="1" hidden="1">
      <c r="A554">
        <v>3299</v>
      </c>
      <c r="B554" t="s">
        <v>319</v>
      </c>
      <c r="C554" s="46">
        <v>225492</v>
      </c>
      <c r="D554" s="46">
        <v>243943</v>
      </c>
      <c r="E554" s="46">
        <v>219675</v>
      </c>
      <c r="F554">
        <v>-7.56</v>
      </c>
      <c r="G554">
        <v>2.64</v>
      </c>
      <c r="H554" s="46">
        <v>2219615</v>
      </c>
      <c r="I554" s="46">
        <v>2101705</v>
      </c>
      <c r="J554">
        <v>5.61</v>
      </c>
      <c r="K554">
        <v>0</v>
      </c>
    </row>
    <row r="555" spans="1:11" customFormat="1" hidden="1">
      <c r="A555">
        <v>3297</v>
      </c>
      <c r="B555" t="s">
        <v>318</v>
      </c>
      <c r="C555" s="46">
        <v>41205</v>
      </c>
      <c r="D555" s="46">
        <v>47126</v>
      </c>
      <c r="E555" s="46">
        <v>66135</v>
      </c>
      <c r="F555">
        <v>-12.56</v>
      </c>
      <c r="G555">
        <v>-37.69</v>
      </c>
      <c r="H555" s="46">
        <v>451351</v>
      </c>
      <c r="I555" s="46">
        <v>609666</v>
      </c>
      <c r="J555">
        <v>-25.96</v>
      </c>
      <c r="K555" s="286">
        <v>0</v>
      </c>
    </row>
    <row r="556" spans="1:11" customFormat="1" hidden="1">
      <c r="A556">
        <v>3294</v>
      </c>
      <c r="B556" t="s">
        <v>317</v>
      </c>
      <c r="C556" s="46">
        <v>567639</v>
      </c>
      <c r="D556" s="46">
        <v>579521</v>
      </c>
      <c r="E556" s="46">
        <v>423599</v>
      </c>
      <c r="F556">
        <v>-2.0499999999999998</v>
      </c>
      <c r="G556">
        <v>34</v>
      </c>
      <c r="H556" s="46">
        <v>4962157</v>
      </c>
      <c r="I556" s="46">
        <v>3880542</v>
      </c>
      <c r="J556">
        <v>27.87</v>
      </c>
      <c r="K556">
        <v>1</v>
      </c>
    </row>
    <row r="557" spans="1:11" customFormat="1" hidden="1">
      <c r="A557">
        <v>3293</v>
      </c>
      <c r="B557" t="s">
        <v>2133</v>
      </c>
      <c r="C557" s="46">
        <v>168277</v>
      </c>
      <c r="D557" s="46">
        <v>176535</v>
      </c>
      <c r="E557" s="46">
        <v>140457</v>
      </c>
      <c r="F557">
        <v>-4.67</v>
      </c>
      <c r="G557">
        <v>19.8</v>
      </c>
      <c r="H557" s="46">
        <v>1516697</v>
      </c>
      <c r="I557" s="46">
        <v>1387307</v>
      </c>
      <c r="J557">
        <v>9.32</v>
      </c>
      <c r="K557" s="286">
        <v>1</v>
      </c>
    </row>
    <row r="558" spans="1:11" customFormat="1" hidden="1">
      <c r="A558">
        <v>3291</v>
      </c>
      <c r="B558" t="s">
        <v>316</v>
      </c>
      <c r="C558" s="46">
        <v>58645</v>
      </c>
      <c r="D558" s="46">
        <v>52761</v>
      </c>
      <c r="E558" s="46">
        <v>72481</v>
      </c>
      <c r="F558">
        <v>11.15</v>
      </c>
      <c r="G558">
        <v>-19.079999999999998</v>
      </c>
      <c r="H558" s="46">
        <v>575676</v>
      </c>
      <c r="I558" s="46">
        <v>758338</v>
      </c>
      <c r="J558">
        <v>-24.08</v>
      </c>
      <c r="K558" s="286">
        <v>0</v>
      </c>
    </row>
    <row r="559" spans="1:11" customFormat="1" hidden="1">
      <c r="A559">
        <v>3290</v>
      </c>
      <c r="B559" t="s">
        <v>2050</v>
      </c>
      <c r="C559" s="46">
        <v>256187</v>
      </c>
      <c r="D559" s="46">
        <v>230796</v>
      </c>
      <c r="E559" s="46">
        <v>300096</v>
      </c>
      <c r="F559">
        <v>11</v>
      </c>
      <c r="G559">
        <v>-14.63</v>
      </c>
      <c r="H559" s="46">
        <v>2371679</v>
      </c>
      <c r="I559" s="46">
        <v>2703127</v>
      </c>
      <c r="J559">
        <v>-12.26</v>
      </c>
      <c r="K559">
        <v>1</v>
      </c>
    </row>
    <row r="560" spans="1:11" customFormat="1" hidden="1">
      <c r="A560">
        <v>3289</v>
      </c>
      <c r="B560" t="s">
        <v>2264</v>
      </c>
      <c r="C560" s="46">
        <v>161822</v>
      </c>
      <c r="D560" s="46">
        <v>172659</v>
      </c>
      <c r="E560" s="46">
        <v>146047</v>
      </c>
      <c r="F560">
        <v>-6.27</v>
      </c>
      <c r="G560">
        <v>10.8</v>
      </c>
      <c r="H560" s="46">
        <v>1676504</v>
      </c>
      <c r="I560" s="46">
        <v>1525190</v>
      </c>
      <c r="J560">
        <v>9.92</v>
      </c>
      <c r="K560" s="286">
        <v>0</v>
      </c>
    </row>
    <row r="561" spans="1:11" customFormat="1" hidden="1">
      <c r="A561">
        <v>3288</v>
      </c>
      <c r="B561" t="s">
        <v>2062</v>
      </c>
      <c r="C561" s="46">
        <v>24742</v>
      </c>
      <c r="D561" s="46">
        <v>31801</v>
      </c>
      <c r="E561" s="46">
        <v>32179</v>
      </c>
      <c r="F561">
        <v>-22.19</v>
      </c>
      <c r="G561">
        <v>-23.11</v>
      </c>
      <c r="H561" s="46">
        <v>223635</v>
      </c>
      <c r="I561" s="46">
        <v>326451</v>
      </c>
      <c r="J561">
        <v>-31.49</v>
      </c>
      <c r="K561" s="286">
        <v>1</v>
      </c>
    </row>
    <row r="562" spans="1:11" customFormat="1" hidden="1">
      <c r="A562">
        <v>3287</v>
      </c>
      <c r="B562" t="s">
        <v>2032</v>
      </c>
      <c r="C562" s="46">
        <v>30478</v>
      </c>
      <c r="D562" s="46">
        <v>30082</v>
      </c>
      <c r="E562" s="46">
        <v>62629</v>
      </c>
      <c r="F562">
        <v>1.31</v>
      </c>
      <c r="G562">
        <v>-51.33</v>
      </c>
      <c r="H562" s="46">
        <v>329403</v>
      </c>
      <c r="I562" s="46">
        <v>513697</v>
      </c>
      <c r="J562">
        <v>-35.869999999999997</v>
      </c>
      <c r="K562" s="286">
        <v>0</v>
      </c>
    </row>
    <row r="563" spans="1:11" customFormat="1" hidden="1">
      <c r="A563">
        <v>3285</v>
      </c>
      <c r="B563" t="s">
        <v>315</v>
      </c>
      <c r="C563" s="46">
        <v>131559</v>
      </c>
      <c r="D563" s="46">
        <v>144936</v>
      </c>
      <c r="E563" s="46">
        <v>105567</v>
      </c>
      <c r="F563">
        <v>-9.2200000000000006</v>
      </c>
      <c r="G563">
        <v>24.62</v>
      </c>
      <c r="H563" s="46">
        <v>1237427</v>
      </c>
      <c r="I563" s="46">
        <v>1012961</v>
      </c>
      <c r="J563">
        <v>22.15</v>
      </c>
      <c r="K563">
        <v>1</v>
      </c>
    </row>
    <row r="564" spans="1:11" customFormat="1" hidden="1">
      <c r="A564">
        <v>3284</v>
      </c>
      <c r="B564" t="s">
        <v>314</v>
      </c>
      <c r="C564" s="46">
        <v>65224</v>
      </c>
      <c r="D564" s="46">
        <v>80980</v>
      </c>
      <c r="E564" s="46">
        <v>90368</v>
      </c>
      <c r="F564">
        <v>-19.45</v>
      </c>
      <c r="G564">
        <v>-27.82</v>
      </c>
      <c r="H564" s="46">
        <v>745218</v>
      </c>
      <c r="I564" s="46">
        <v>851902</v>
      </c>
      <c r="J564">
        <v>-12.52</v>
      </c>
      <c r="K564">
        <v>0</v>
      </c>
    </row>
    <row r="565" spans="1:11" customFormat="1" hidden="1">
      <c r="A565">
        <v>3276</v>
      </c>
      <c r="B565" t="s">
        <v>1502</v>
      </c>
      <c r="C565" s="46">
        <v>75279</v>
      </c>
      <c r="D565" s="46">
        <v>81683</v>
      </c>
      <c r="E565" s="46">
        <v>73278</v>
      </c>
      <c r="F565">
        <v>-7.84</v>
      </c>
      <c r="G565">
        <v>2.73</v>
      </c>
      <c r="H565" s="46">
        <v>704276</v>
      </c>
      <c r="I565" s="46">
        <v>790536</v>
      </c>
      <c r="J565">
        <v>-10.91</v>
      </c>
      <c r="K565">
        <v>1</v>
      </c>
    </row>
    <row r="566" spans="1:11" customFormat="1" hidden="1">
      <c r="A566">
        <v>3272</v>
      </c>
      <c r="B566" t="s">
        <v>313</v>
      </c>
      <c r="C566" s="46">
        <v>219481</v>
      </c>
      <c r="D566" s="46">
        <v>244579</v>
      </c>
      <c r="E566" s="46">
        <v>211950</v>
      </c>
      <c r="F566">
        <v>-10.26</v>
      </c>
      <c r="G566">
        <v>3.55</v>
      </c>
      <c r="H566" s="46">
        <v>2376255</v>
      </c>
      <c r="I566" s="46">
        <v>2583791</v>
      </c>
      <c r="J566">
        <v>-8.0299999999999994</v>
      </c>
      <c r="K566">
        <v>0</v>
      </c>
    </row>
    <row r="567" spans="1:11" customFormat="1" hidden="1">
      <c r="A567">
        <v>3268</v>
      </c>
      <c r="B567" t="s">
        <v>312</v>
      </c>
      <c r="C567" s="46">
        <v>93310</v>
      </c>
      <c r="D567" s="46">
        <v>43122</v>
      </c>
      <c r="E567" s="46">
        <v>75524</v>
      </c>
      <c r="F567">
        <v>116.38</v>
      </c>
      <c r="G567">
        <v>23.55</v>
      </c>
      <c r="H567" s="46">
        <v>660443</v>
      </c>
      <c r="I567" s="46">
        <v>755403</v>
      </c>
      <c r="J567">
        <v>-12.57</v>
      </c>
      <c r="K567" s="286">
        <v>1</v>
      </c>
    </row>
    <row r="568" spans="1:11" customFormat="1" hidden="1">
      <c r="A568">
        <v>3265</v>
      </c>
      <c r="B568" t="s">
        <v>311</v>
      </c>
      <c r="C568" s="46">
        <v>168369</v>
      </c>
      <c r="D568" s="46">
        <v>146220</v>
      </c>
      <c r="E568" s="46">
        <v>344799</v>
      </c>
      <c r="F568">
        <v>15.14</v>
      </c>
      <c r="G568">
        <v>-51.16</v>
      </c>
      <c r="H568" s="46">
        <v>2544781</v>
      </c>
      <c r="I568" s="46">
        <v>3560432</v>
      </c>
      <c r="J568">
        <v>-28.52</v>
      </c>
      <c r="K568">
        <v>0</v>
      </c>
    </row>
    <row r="569" spans="1:11" customFormat="1" hidden="1">
      <c r="A569">
        <v>3264</v>
      </c>
      <c r="B569" t="s">
        <v>2008</v>
      </c>
      <c r="C569" s="46">
        <v>461789</v>
      </c>
      <c r="D569" s="46">
        <v>506305</v>
      </c>
      <c r="E569" s="46">
        <v>525111</v>
      </c>
      <c r="F569">
        <v>-8.7899999999999991</v>
      </c>
      <c r="G569">
        <v>-12.05</v>
      </c>
      <c r="H569" s="46">
        <v>5054150</v>
      </c>
      <c r="I569" s="46">
        <v>4807826</v>
      </c>
      <c r="J569">
        <v>5.12</v>
      </c>
      <c r="K569" s="286">
        <v>0</v>
      </c>
    </row>
    <row r="570" spans="1:11" customFormat="1" hidden="1">
      <c r="A570">
        <v>3260</v>
      </c>
      <c r="B570" t="s">
        <v>2181</v>
      </c>
      <c r="C570" s="46">
        <v>1672344</v>
      </c>
      <c r="D570" s="46">
        <v>1642522</v>
      </c>
      <c r="E570" s="46">
        <v>2273445</v>
      </c>
      <c r="F570">
        <v>1.81</v>
      </c>
      <c r="G570">
        <v>-26.44</v>
      </c>
      <c r="H570" s="46">
        <v>16648452</v>
      </c>
      <c r="I570" s="46">
        <v>24520385</v>
      </c>
      <c r="J570">
        <v>-32.1</v>
      </c>
      <c r="K570" s="286">
        <v>0</v>
      </c>
    </row>
    <row r="571" spans="1:11" customFormat="1" hidden="1">
      <c r="A571">
        <v>3259</v>
      </c>
      <c r="B571" t="s">
        <v>2007</v>
      </c>
      <c r="C571" s="46">
        <v>32244</v>
      </c>
      <c r="D571" s="46">
        <v>32270</v>
      </c>
      <c r="E571" s="46">
        <v>52418</v>
      </c>
      <c r="F571">
        <v>-0.08</v>
      </c>
      <c r="G571">
        <v>-38.479999999999997</v>
      </c>
      <c r="H571" s="46">
        <v>398058</v>
      </c>
      <c r="I571" s="46">
        <v>467443</v>
      </c>
      <c r="J571">
        <v>-14.84</v>
      </c>
      <c r="K571" s="286">
        <v>0</v>
      </c>
    </row>
    <row r="572" spans="1:11" customFormat="1" hidden="1">
      <c r="A572">
        <v>3252</v>
      </c>
      <c r="B572" t="s">
        <v>310</v>
      </c>
      <c r="C572" s="46">
        <v>6955</v>
      </c>
      <c r="D572" s="46">
        <v>7512</v>
      </c>
      <c r="E572" s="46">
        <v>16946</v>
      </c>
      <c r="F572">
        <v>-7.41</v>
      </c>
      <c r="G572">
        <v>-58.95</v>
      </c>
      <c r="H572" s="46">
        <v>119345</v>
      </c>
      <c r="I572" s="46">
        <v>165715</v>
      </c>
      <c r="J572" s="276">
        <v>-27.98</v>
      </c>
      <c r="K572">
        <v>0</v>
      </c>
    </row>
    <row r="573" spans="1:11" customFormat="1" hidden="1">
      <c r="A573">
        <v>3236</v>
      </c>
      <c r="B573" t="s">
        <v>309</v>
      </c>
      <c r="C573" s="46">
        <v>170760</v>
      </c>
      <c r="D573" s="46">
        <v>178070</v>
      </c>
      <c r="E573" s="46">
        <v>149686</v>
      </c>
      <c r="F573">
        <v>-4.0999999999999996</v>
      </c>
      <c r="G573">
        <v>14.07</v>
      </c>
      <c r="H573" s="46">
        <v>1548865</v>
      </c>
      <c r="I573" s="46">
        <v>1526037</v>
      </c>
      <c r="J573">
        <v>1.49</v>
      </c>
      <c r="K573">
        <v>1</v>
      </c>
    </row>
    <row r="574" spans="1:11" customFormat="1">
      <c r="A574" s="62" t="str">
        <f>HYPERLINK("http://tw.stock.yahoo.com/q/ta?s=3169","3169")</f>
        <v>3169</v>
      </c>
      <c r="B574" s="62" t="str">
        <f>HYPERLINK("http://tw.stock.yahoo.com/d/s/earning_3169.html","亞信電子")</f>
        <v>亞信電子</v>
      </c>
      <c r="C574" s="46">
        <v>63011</v>
      </c>
      <c r="D574" s="46">
        <v>55751</v>
      </c>
      <c r="E574" s="46">
        <v>43097</v>
      </c>
      <c r="F574">
        <v>13.02</v>
      </c>
      <c r="G574">
        <v>46.2</v>
      </c>
      <c r="H574" s="46">
        <v>496029</v>
      </c>
      <c r="I574" s="46">
        <v>380853</v>
      </c>
      <c r="J574">
        <v>30.24</v>
      </c>
      <c r="K574">
        <v>1</v>
      </c>
    </row>
    <row r="575" spans="1:11" customFormat="1" hidden="1">
      <c r="A575">
        <v>3232</v>
      </c>
      <c r="B575" t="s">
        <v>307</v>
      </c>
      <c r="C575" s="46">
        <v>47568</v>
      </c>
      <c r="D575" s="46">
        <v>49864</v>
      </c>
      <c r="E575" s="46">
        <v>76637</v>
      </c>
      <c r="F575">
        <v>-4.5999999999999996</v>
      </c>
      <c r="G575">
        <v>-37.93</v>
      </c>
      <c r="H575" s="46">
        <v>627302</v>
      </c>
      <c r="I575" s="46">
        <v>728745</v>
      </c>
      <c r="J575">
        <v>-13.92</v>
      </c>
      <c r="K575">
        <v>0</v>
      </c>
    </row>
    <row r="576" spans="1:11" customFormat="1" hidden="1">
      <c r="A576">
        <v>3230</v>
      </c>
      <c r="B576" t="s">
        <v>2204</v>
      </c>
      <c r="C576" s="46">
        <v>136650</v>
      </c>
      <c r="D576" s="46">
        <v>136776</v>
      </c>
      <c r="E576" s="46">
        <v>204105</v>
      </c>
      <c r="F576">
        <v>-0.09</v>
      </c>
      <c r="G576">
        <v>-33.04</v>
      </c>
      <c r="H576" s="46">
        <v>1369295</v>
      </c>
      <c r="I576" s="46">
        <v>1848806</v>
      </c>
      <c r="J576">
        <v>-25.93</v>
      </c>
      <c r="K576">
        <v>0</v>
      </c>
    </row>
    <row r="577" spans="1:11" customFormat="1" hidden="1">
      <c r="A577">
        <v>3228</v>
      </c>
      <c r="B577" t="s">
        <v>306</v>
      </c>
      <c r="C577" s="46">
        <v>19366</v>
      </c>
      <c r="D577" s="46">
        <v>19018</v>
      </c>
      <c r="E577" s="46">
        <v>23278</v>
      </c>
      <c r="F577">
        <v>1.82</v>
      </c>
      <c r="G577">
        <v>-16.8</v>
      </c>
      <c r="H577" s="46">
        <v>225628</v>
      </c>
      <c r="I577" s="46">
        <v>226297</v>
      </c>
      <c r="J577">
        <v>-0.28999999999999998</v>
      </c>
      <c r="K577" s="286">
        <v>0</v>
      </c>
    </row>
    <row r="578" spans="1:11" customFormat="1" hidden="1">
      <c r="A578">
        <v>3227</v>
      </c>
      <c r="B578" t="s">
        <v>305</v>
      </c>
      <c r="C578" s="46">
        <v>368677</v>
      </c>
      <c r="D578" s="46">
        <v>350080</v>
      </c>
      <c r="E578" s="46">
        <v>391495</v>
      </c>
      <c r="F578">
        <v>5.31</v>
      </c>
      <c r="G578">
        <v>-5.82</v>
      </c>
      <c r="H578" s="46">
        <v>3610289</v>
      </c>
      <c r="I578" s="46">
        <v>4043624</v>
      </c>
      <c r="J578">
        <v>-10.71</v>
      </c>
      <c r="K578">
        <v>0</v>
      </c>
    </row>
    <row r="579" spans="1:11" customFormat="1" hidden="1">
      <c r="A579">
        <v>3226</v>
      </c>
      <c r="B579" t="s">
        <v>304</v>
      </c>
      <c r="C579" s="46">
        <v>90288</v>
      </c>
      <c r="D579" s="46">
        <v>102008</v>
      </c>
      <c r="E579" s="46">
        <v>65981</v>
      </c>
      <c r="F579">
        <v>-11.48</v>
      </c>
      <c r="G579">
        <v>36.83</v>
      </c>
      <c r="H579" s="46">
        <v>886742</v>
      </c>
      <c r="I579" s="46">
        <v>729060</v>
      </c>
      <c r="J579">
        <v>21.62</v>
      </c>
      <c r="K579">
        <v>0</v>
      </c>
    </row>
    <row r="580" spans="1:11" customFormat="1" hidden="1">
      <c r="A580">
        <v>3224</v>
      </c>
      <c r="B580" t="s">
        <v>1497</v>
      </c>
      <c r="C580" s="46">
        <v>193919</v>
      </c>
      <c r="D580" s="46">
        <v>215730</v>
      </c>
      <c r="E580" s="46">
        <v>190303</v>
      </c>
      <c r="F580">
        <v>-10.11</v>
      </c>
      <c r="G580" s="276">
        <v>1.9</v>
      </c>
      <c r="H580" s="46">
        <v>1788152</v>
      </c>
      <c r="I580" s="46">
        <v>1707015</v>
      </c>
      <c r="J580">
        <v>4.75</v>
      </c>
      <c r="K580" s="286">
        <v>1</v>
      </c>
    </row>
    <row r="581" spans="1:11" customFormat="1" hidden="1">
      <c r="A581">
        <v>3221</v>
      </c>
      <c r="B581" t="s">
        <v>2049</v>
      </c>
      <c r="C581" s="46">
        <v>158688</v>
      </c>
      <c r="D581" s="46">
        <v>141597</v>
      </c>
      <c r="E581" s="46">
        <v>156220</v>
      </c>
      <c r="F581">
        <v>12.07</v>
      </c>
      <c r="G581">
        <v>1.57</v>
      </c>
      <c r="H581" s="46">
        <v>1386361</v>
      </c>
      <c r="I581" s="46">
        <v>1451256</v>
      </c>
      <c r="J581">
        <v>-4.47</v>
      </c>
      <c r="K581">
        <v>1</v>
      </c>
    </row>
    <row r="582" spans="1:11" customFormat="1" hidden="1">
      <c r="A582">
        <v>3219</v>
      </c>
      <c r="B582" t="s">
        <v>2180</v>
      </c>
      <c r="C582" s="46">
        <v>10563</v>
      </c>
      <c r="D582" s="46">
        <v>13776</v>
      </c>
      <c r="E582" s="46">
        <v>34414</v>
      </c>
      <c r="F582">
        <v>-23.32</v>
      </c>
      <c r="G582">
        <v>-69.3</v>
      </c>
      <c r="H582" s="46">
        <v>150122</v>
      </c>
      <c r="I582" s="46">
        <v>215627</v>
      </c>
      <c r="J582">
        <v>-30.37</v>
      </c>
      <c r="K582" s="286">
        <v>0</v>
      </c>
    </row>
    <row r="583" spans="1:11" customFormat="1" hidden="1">
      <c r="A583">
        <v>3218</v>
      </c>
      <c r="B583" t="s">
        <v>303</v>
      </c>
      <c r="C583" s="46">
        <v>83270</v>
      </c>
      <c r="D583" s="46">
        <v>88824</v>
      </c>
      <c r="E583" s="46">
        <v>80620</v>
      </c>
      <c r="F583">
        <v>-6.25</v>
      </c>
      <c r="G583">
        <v>3.28</v>
      </c>
      <c r="H583" s="46">
        <v>852364</v>
      </c>
      <c r="I583" s="46">
        <v>817687</v>
      </c>
      <c r="J583">
        <v>4.24</v>
      </c>
      <c r="K583" s="286">
        <v>0</v>
      </c>
    </row>
    <row r="584" spans="1:11" customFormat="1" hidden="1">
      <c r="A584">
        <v>3217</v>
      </c>
      <c r="B584" t="s">
        <v>2229</v>
      </c>
      <c r="C584" s="46">
        <v>100084</v>
      </c>
      <c r="D584" s="46">
        <v>139380</v>
      </c>
      <c r="E584" s="46">
        <v>93642</v>
      </c>
      <c r="F584">
        <v>-28.19</v>
      </c>
      <c r="G584">
        <v>6.87</v>
      </c>
      <c r="H584" s="46">
        <v>1021264</v>
      </c>
      <c r="I584" s="46">
        <v>1055783</v>
      </c>
      <c r="J584">
        <v>-3.26</v>
      </c>
      <c r="K584" s="286">
        <v>0</v>
      </c>
    </row>
    <row r="585" spans="1:11" customFormat="1" hidden="1">
      <c r="A585">
        <v>3213</v>
      </c>
      <c r="B585" t="s">
        <v>2031</v>
      </c>
      <c r="C585" s="46">
        <v>207610</v>
      </c>
      <c r="D585" s="46">
        <v>217842</v>
      </c>
      <c r="E585" s="46">
        <v>207276</v>
      </c>
      <c r="F585">
        <v>-4.6900000000000004</v>
      </c>
      <c r="G585">
        <v>0.16</v>
      </c>
      <c r="H585" s="46">
        <v>1792167</v>
      </c>
      <c r="I585" s="46">
        <v>1807520</v>
      </c>
      <c r="J585">
        <v>-0.84</v>
      </c>
      <c r="K585">
        <v>1</v>
      </c>
    </row>
    <row r="586" spans="1:11" customFormat="1" hidden="1">
      <c r="A586">
        <v>3211</v>
      </c>
      <c r="B586" t="s">
        <v>2030</v>
      </c>
      <c r="C586" s="46">
        <v>2015494</v>
      </c>
      <c r="D586" s="46">
        <v>2069519</v>
      </c>
      <c r="E586" s="46">
        <v>2148431</v>
      </c>
      <c r="F586">
        <v>-2.61</v>
      </c>
      <c r="G586">
        <v>-6.18</v>
      </c>
      <c r="H586" s="46">
        <v>17619854</v>
      </c>
      <c r="I586" s="46">
        <v>21189510</v>
      </c>
      <c r="J586">
        <v>-16.84</v>
      </c>
      <c r="K586">
        <v>1</v>
      </c>
    </row>
    <row r="587" spans="1:11" customFormat="1" hidden="1">
      <c r="A587">
        <v>3207</v>
      </c>
      <c r="B587" t="s">
        <v>302</v>
      </c>
      <c r="C587" s="46">
        <v>88782</v>
      </c>
      <c r="D587" s="46">
        <v>95722</v>
      </c>
      <c r="E587" s="46">
        <v>94836</v>
      </c>
      <c r="F587">
        <v>-7.25</v>
      </c>
      <c r="G587">
        <v>-6.38</v>
      </c>
      <c r="H587" s="46">
        <v>814660</v>
      </c>
      <c r="I587" s="46">
        <v>952101</v>
      </c>
      <c r="J587">
        <v>-14.43</v>
      </c>
      <c r="K587">
        <v>1</v>
      </c>
    </row>
    <row r="588" spans="1:11" customFormat="1" hidden="1">
      <c r="A588">
        <v>3206</v>
      </c>
      <c r="B588" t="s">
        <v>2061</v>
      </c>
      <c r="C588" s="46">
        <v>132229</v>
      </c>
      <c r="D588" s="46">
        <v>154257</v>
      </c>
      <c r="E588" s="46">
        <v>123830</v>
      </c>
      <c r="F588">
        <v>-14.28</v>
      </c>
      <c r="G588">
        <v>6.78</v>
      </c>
      <c r="H588" s="46">
        <v>1324520</v>
      </c>
      <c r="I588" s="46">
        <v>1133724</v>
      </c>
      <c r="J588">
        <v>16.82</v>
      </c>
      <c r="K588" s="286">
        <v>0</v>
      </c>
    </row>
    <row r="589" spans="1:11" customFormat="1">
      <c r="A589" s="62" t="str">
        <f>HYPERLINK("http://tw.stock.yahoo.com/q/ta?s=3552","3552")</f>
        <v>3552</v>
      </c>
      <c r="B589" s="62" t="str">
        <f>HYPERLINK("http://tw.stock.yahoo.com/d/s/earning_3552.html","同致電子")</f>
        <v>同致電子</v>
      </c>
      <c r="C589" s="46">
        <v>681521</v>
      </c>
      <c r="D589" s="46">
        <v>586243</v>
      </c>
      <c r="E589" s="46">
        <v>451239</v>
      </c>
      <c r="F589">
        <v>16.25</v>
      </c>
      <c r="G589">
        <v>51.03</v>
      </c>
      <c r="H589" s="46">
        <v>5379566</v>
      </c>
      <c r="I589" s="46">
        <v>4154431</v>
      </c>
      <c r="J589">
        <v>29.48</v>
      </c>
      <c r="K589" s="286">
        <v>1</v>
      </c>
    </row>
    <row r="590" spans="1:11" customFormat="1" hidden="1">
      <c r="A590">
        <v>3202</v>
      </c>
      <c r="B590" t="s">
        <v>2228</v>
      </c>
      <c r="C590" s="46">
        <v>219803</v>
      </c>
      <c r="D590" s="46">
        <v>244558</v>
      </c>
      <c r="E590" s="46">
        <v>184253</v>
      </c>
      <c r="F590">
        <v>-10.119999999999999</v>
      </c>
      <c r="G590">
        <v>19.29</v>
      </c>
      <c r="H590" s="46">
        <v>1874437</v>
      </c>
      <c r="I590" s="46">
        <v>1838920</v>
      </c>
      <c r="J590">
        <v>1.93</v>
      </c>
      <c r="K590">
        <v>1</v>
      </c>
    </row>
    <row r="591" spans="1:11" customFormat="1" hidden="1">
      <c r="A591">
        <v>3191</v>
      </c>
      <c r="B591" t="s">
        <v>1489</v>
      </c>
      <c r="C591" s="46">
        <v>46033</v>
      </c>
      <c r="D591" s="46">
        <v>174954</v>
      </c>
      <c r="E591" s="46">
        <v>47251</v>
      </c>
      <c r="F591">
        <v>-73.680000000000007</v>
      </c>
      <c r="G591">
        <v>-2.57</v>
      </c>
      <c r="H591" s="46">
        <v>726504</v>
      </c>
      <c r="I591" s="46">
        <v>573801</v>
      </c>
      <c r="J591">
        <v>26.61</v>
      </c>
      <c r="K591" s="286">
        <v>0</v>
      </c>
    </row>
    <row r="592" spans="1:11" customFormat="1" hidden="1">
      <c r="A592">
        <v>3188</v>
      </c>
      <c r="B592" t="s">
        <v>300</v>
      </c>
      <c r="C592" s="46">
        <v>17808</v>
      </c>
      <c r="D592" s="46">
        <v>19120</v>
      </c>
      <c r="E592" s="46">
        <v>18833</v>
      </c>
      <c r="F592">
        <v>-6.86</v>
      </c>
      <c r="G592">
        <v>-5.44</v>
      </c>
      <c r="H592" s="46">
        <v>157669</v>
      </c>
      <c r="I592" s="46">
        <v>217472</v>
      </c>
      <c r="J592">
        <v>-27.49</v>
      </c>
      <c r="K592">
        <v>1</v>
      </c>
    </row>
    <row r="593" spans="1:11" customFormat="1" hidden="1">
      <c r="A593">
        <v>3176</v>
      </c>
      <c r="B593" t="s">
        <v>299</v>
      </c>
      <c r="C593" s="46">
        <v>29596</v>
      </c>
      <c r="D593" s="46">
        <v>32341</v>
      </c>
      <c r="E593" s="46">
        <v>38378</v>
      </c>
      <c r="F593">
        <v>-8.48</v>
      </c>
      <c r="G593">
        <v>-22.88</v>
      </c>
      <c r="H593" s="46">
        <v>301610</v>
      </c>
      <c r="I593" s="46">
        <v>312167</v>
      </c>
      <c r="J593">
        <v>-3.38</v>
      </c>
      <c r="K593" s="286">
        <v>0</v>
      </c>
    </row>
    <row r="594" spans="1:11" customFormat="1" hidden="1">
      <c r="A594">
        <v>3171</v>
      </c>
      <c r="B594" t="s">
        <v>2125</v>
      </c>
      <c r="C594" s="46">
        <v>141505</v>
      </c>
      <c r="D594" s="46">
        <v>155164</v>
      </c>
      <c r="E594" s="46">
        <v>146028</v>
      </c>
      <c r="F594">
        <v>-8.8000000000000007</v>
      </c>
      <c r="G594">
        <v>-3.09</v>
      </c>
      <c r="H594" s="46">
        <v>1426269</v>
      </c>
      <c r="I594" s="46">
        <v>1452006</v>
      </c>
      <c r="J594">
        <v>-1.77</v>
      </c>
      <c r="K594">
        <v>0</v>
      </c>
    </row>
    <row r="595" spans="1:11" customFormat="1">
      <c r="A595" s="62" t="str">
        <f>HYPERLINK("http://tw.stock.yahoo.com/q/ta?s=5301","5301")</f>
        <v>5301</v>
      </c>
      <c r="B595" s="62" t="str">
        <f>HYPERLINK("http://tw.stock.yahoo.com/d/s/earning_5301.html","寶得利")</f>
        <v>寶得利</v>
      </c>
      <c r="C595" s="46">
        <v>211297</v>
      </c>
      <c r="D595" s="46">
        <v>173207</v>
      </c>
      <c r="E595" s="46">
        <v>182399</v>
      </c>
      <c r="F595">
        <v>21.99</v>
      </c>
      <c r="G595">
        <v>15.84</v>
      </c>
      <c r="H595" s="46">
        <v>1908445</v>
      </c>
      <c r="I595" s="46">
        <v>1495452</v>
      </c>
      <c r="J595">
        <v>27.61</v>
      </c>
      <c r="K595">
        <v>1</v>
      </c>
    </row>
    <row r="596" spans="1:11" customFormat="1" hidden="1">
      <c r="A596">
        <v>3163</v>
      </c>
      <c r="B596" t="s">
        <v>298</v>
      </c>
      <c r="C596" s="46">
        <v>170466</v>
      </c>
      <c r="D596" s="46">
        <v>163127</v>
      </c>
      <c r="E596" s="46">
        <v>133084</v>
      </c>
      <c r="F596">
        <v>4.49</v>
      </c>
      <c r="G596">
        <v>28.08</v>
      </c>
      <c r="H596" s="46">
        <v>1990758</v>
      </c>
      <c r="I596" s="46">
        <v>1549155</v>
      </c>
      <c r="J596">
        <v>28.5</v>
      </c>
      <c r="K596">
        <v>0</v>
      </c>
    </row>
    <row r="597" spans="1:11" customFormat="1" hidden="1">
      <c r="A597">
        <v>3162</v>
      </c>
      <c r="B597" t="s">
        <v>2139</v>
      </c>
      <c r="C597" s="46">
        <v>59167</v>
      </c>
      <c r="D597" s="46">
        <v>60409</v>
      </c>
      <c r="E597" s="46">
        <v>74088</v>
      </c>
      <c r="F597">
        <v>-2.0499999999999998</v>
      </c>
      <c r="G597">
        <v>-20.13</v>
      </c>
      <c r="H597" s="46">
        <v>657562</v>
      </c>
      <c r="I597" s="46">
        <v>661626</v>
      </c>
      <c r="J597">
        <v>-0.61</v>
      </c>
      <c r="K597" s="286">
        <v>0</v>
      </c>
    </row>
    <row r="598" spans="1:11" customFormat="1" hidden="1">
      <c r="A598">
        <v>3152</v>
      </c>
      <c r="B598" t="s">
        <v>2048</v>
      </c>
      <c r="C598" s="46">
        <v>170947</v>
      </c>
      <c r="D598" s="46">
        <v>166436</v>
      </c>
      <c r="E598" s="46">
        <v>114575</v>
      </c>
      <c r="F598">
        <v>2.71</v>
      </c>
      <c r="G598">
        <v>49.2</v>
      </c>
      <c r="H598" s="46">
        <v>1424822</v>
      </c>
      <c r="I598" s="46">
        <v>1058627</v>
      </c>
      <c r="J598">
        <v>34.590000000000003</v>
      </c>
      <c r="K598">
        <v>1</v>
      </c>
    </row>
    <row r="599" spans="1:11" customFormat="1" hidden="1">
      <c r="A599">
        <v>3144</v>
      </c>
      <c r="B599" t="s">
        <v>297</v>
      </c>
      <c r="C599" s="46">
        <v>183507</v>
      </c>
      <c r="D599" s="46">
        <v>203491</v>
      </c>
      <c r="E599" s="46">
        <v>184590</v>
      </c>
      <c r="F599">
        <v>-9.82</v>
      </c>
      <c r="G599">
        <v>-0.57999999999999996</v>
      </c>
      <c r="H599" s="46">
        <v>1685858</v>
      </c>
      <c r="I599" s="46">
        <v>1645685</v>
      </c>
      <c r="J599">
        <v>2.44</v>
      </c>
      <c r="K599">
        <v>1</v>
      </c>
    </row>
    <row r="600" spans="1:11" customFormat="1" hidden="1">
      <c r="A600">
        <v>3141</v>
      </c>
      <c r="B600" t="s">
        <v>296</v>
      </c>
      <c r="C600" s="46">
        <v>97917</v>
      </c>
      <c r="D600" s="46">
        <v>94957</v>
      </c>
      <c r="E600" s="46">
        <v>88336</v>
      </c>
      <c r="F600">
        <v>3.11</v>
      </c>
      <c r="G600">
        <v>10.84</v>
      </c>
      <c r="H600" s="46">
        <v>897873</v>
      </c>
      <c r="I600" s="46">
        <v>845028</v>
      </c>
      <c r="J600">
        <v>6.25</v>
      </c>
      <c r="K600">
        <v>1</v>
      </c>
    </row>
    <row r="601" spans="1:11" customFormat="1">
      <c r="A601" s="62" t="str">
        <f>HYPERLINK("http://tw.stock.yahoo.com/q/ta?s=3131","3131")</f>
        <v>3131</v>
      </c>
      <c r="B601" s="62" t="str">
        <f>HYPERLINK("http://tw.stock.yahoo.com/d/s/earning_3131.html","弘塑科技")</f>
        <v>弘塑科技</v>
      </c>
      <c r="C601" s="46">
        <v>181224</v>
      </c>
      <c r="D601" s="46">
        <v>145131</v>
      </c>
      <c r="E601" s="46">
        <v>159435</v>
      </c>
      <c r="F601">
        <v>24.86</v>
      </c>
      <c r="G601">
        <v>13.66</v>
      </c>
      <c r="H601" s="46">
        <v>1501220</v>
      </c>
      <c r="I601" s="46">
        <v>1197990</v>
      </c>
      <c r="J601">
        <v>25.31</v>
      </c>
      <c r="K601">
        <v>1</v>
      </c>
    </row>
    <row r="602" spans="1:11" customFormat="1" hidden="1">
      <c r="A602">
        <v>3128</v>
      </c>
      <c r="B602" t="s">
        <v>2203</v>
      </c>
      <c r="C602" s="46">
        <v>61481</v>
      </c>
      <c r="D602" s="46">
        <v>61825</v>
      </c>
      <c r="E602" s="46">
        <v>50119</v>
      </c>
      <c r="F602">
        <v>-0.55000000000000004</v>
      </c>
      <c r="G602">
        <v>22.67</v>
      </c>
      <c r="H602" s="46">
        <v>607901</v>
      </c>
      <c r="I602" s="46">
        <v>643559</v>
      </c>
      <c r="J602">
        <v>-5.54</v>
      </c>
      <c r="K602">
        <v>0</v>
      </c>
    </row>
    <row r="603" spans="1:11" customFormat="1" hidden="1">
      <c r="A603">
        <v>3126</v>
      </c>
      <c r="B603" t="s">
        <v>2187</v>
      </c>
      <c r="C603" s="46">
        <v>6000</v>
      </c>
      <c r="D603" s="46">
        <v>9923</v>
      </c>
      <c r="E603" s="46">
        <v>28208</v>
      </c>
      <c r="F603">
        <v>-39.53</v>
      </c>
      <c r="G603">
        <v>-78.72</v>
      </c>
      <c r="H603" s="46">
        <v>2158099</v>
      </c>
      <c r="I603" s="46">
        <v>586262</v>
      </c>
      <c r="J603">
        <v>268.11</v>
      </c>
      <c r="K603">
        <v>0</v>
      </c>
    </row>
    <row r="604" spans="1:11" customFormat="1" hidden="1">
      <c r="A604">
        <v>3122</v>
      </c>
      <c r="B604" t="s">
        <v>2179</v>
      </c>
      <c r="C604" s="46">
        <v>59161</v>
      </c>
      <c r="D604" s="46">
        <v>43281</v>
      </c>
      <c r="E604" s="46">
        <v>49623</v>
      </c>
      <c r="F604">
        <v>36.69</v>
      </c>
      <c r="G604">
        <v>19.22</v>
      </c>
      <c r="H604" s="46">
        <v>450705</v>
      </c>
      <c r="I604" s="46">
        <v>444497</v>
      </c>
      <c r="J604">
        <v>1.39</v>
      </c>
      <c r="K604" s="286">
        <v>1</v>
      </c>
    </row>
    <row r="605" spans="1:11" customFormat="1" hidden="1">
      <c r="A605">
        <v>3118</v>
      </c>
      <c r="B605" t="s">
        <v>1986</v>
      </c>
      <c r="C605" s="46">
        <v>43775</v>
      </c>
      <c r="D605" s="46">
        <v>48615</v>
      </c>
      <c r="E605" s="46">
        <v>42498</v>
      </c>
      <c r="F605">
        <v>-9.9499999999999993</v>
      </c>
      <c r="G605">
        <v>3</v>
      </c>
      <c r="H605" s="46">
        <v>425194</v>
      </c>
      <c r="I605" s="46">
        <v>416792</v>
      </c>
      <c r="J605">
        <v>2.0099999999999998</v>
      </c>
      <c r="K605">
        <v>0</v>
      </c>
    </row>
    <row r="606" spans="1:11" customFormat="1">
      <c r="A606" s="62" t="str">
        <f>HYPERLINK("http://tw.stock.yahoo.com/q/ta?s=6217","6217")</f>
        <v>6217</v>
      </c>
      <c r="B606" s="62" t="str">
        <f>HYPERLINK("http://tw.stock.yahoo.com/d/s/earning_6217.html","中國探針")</f>
        <v>中國探針</v>
      </c>
      <c r="C606" s="46">
        <v>182608</v>
      </c>
      <c r="D606" s="46">
        <v>155316</v>
      </c>
      <c r="E606" s="46">
        <v>130950</v>
      </c>
      <c r="F606">
        <v>17.57</v>
      </c>
      <c r="G606">
        <v>39.44</v>
      </c>
      <c r="H606" s="46">
        <v>1433574</v>
      </c>
      <c r="I606" s="46">
        <v>1149443</v>
      </c>
      <c r="J606">
        <v>24.71</v>
      </c>
      <c r="K606">
        <v>1</v>
      </c>
    </row>
    <row r="607" spans="1:11" customFormat="1" hidden="1">
      <c r="A607">
        <v>3114</v>
      </c>
      <c r="B607" t="s">
        <v>2227</v>
      </c>
      <c r="C607" s="46">
        <v>162809</v>
      </c>
      <c r="D607" s="46">
        <v>209142</v>
      </c>
      <c r="E607" s="46">
        <v>157333</v>
      </c>
      <c r="F607">
        <v>-22.15</v>
      </c>
      <c r="G607">
        <v>3.48</v>
      </c>
      <c r="H607" s="46">
        <v>1628778</v>
      </c>
      <c r="I607" s="46">
        <v>1418446</v>
      </c>
      <c r="J607">
        <v>14.82</v>
      </c>
      <c r="K607" s="286">
        <v>0</v>
      </c>
    </row>
    <row r="608" spans="1:11" customFormat="1" hidden="1">
      <c r="A608">
        <v>3105</v>
      </c>
      <c r="B608" t="s">
        <v>295</v>
      </c>
      <c r="C608" s="46">
        <v>1048216</v>
      </c>
      <c r="D608" s="46">
        <v>1032788</v>
      </c>
      <c r="E608" s="46">
        <v>1017428</v>
      </c>
      <c r="F608">
        <v>1.49</v>
      </c>
      <c r="G608">
        <v>3.02</v>
      </c>
      <c r="H608" s="46">
        <v>9865949</v>
      </c>
      <c r="I608" s="46">
        <v>8214114</v>
      </c>
      <c r="J608">
        <v>20.100000000000001</v>
      </c>
      <c r="K608">
        <v>1</v>
      </c>
    </row>
    <row r="609" spans="1:11" customFormat="1" hidden="1">
      <c r="A609">
        <v>3095</v>
      </c>
      <c r="B609" t="s">
        <v>294</v>
      </c>
      <c r="C609" s="46">
        <v>332500</v>
      </c>
      <c r="D609" s="46">
        <v>351973</v>
      </c>
      <c r="E609" s="46">
        <v>533727</v>
      </c>
      <c r="F609">
        <v>-5.53</v>
      </c>
      <c r="G609">
        <v>-37.700000000000003</v>
      </c>
      <c r="H609" s="46">
        <v>3666622</v>
      </c>
      <c r="I609" s="46">
        <v>4051235</v>
      </c>
      <c r="J609">
        <v>-9.49</v>
      </c>
      <c r="K609">
        <v>0</v>
      </c>
    </row>
    <row r="610" spans="1:11" customFormat="1" hidden="1">
      <c r="A610">
        <v>3093</v>
      </c>
      <c r="B610" t="s">
        <v>293</v>
      </c>
      <c r="C610" s="46">
        <v>104783</v>
      </c>
      <c r="D610" s="46">
        <v>66051</v>
      </c>
      <c r="E610" s="46">
        <v>73683</v>
      </c>
      <c r="F610">
        <v>58.63</v>
      </c>
      <c r="G610">
        <v>42.2</v>
      </c>
      <c r="H610" s="46">
        <v>759659</v>
      </c>
      <c r="I610" s="46">
        <v>757633</v>
      </c>
      <c r="J610">
        <v>0.26</v>
      </c>
      <c r="K610">
        <v>1</v>
      </c>
    </row>
    <row r="611" spans="1:11" customFormat="1" hidden="1">
      <c r="A611">
        <v>3092</v>
      </c>
      <c r="B611" t="s">
        <v>292</v>
      </c>
      <c r="C611" s="46">
        <v>212273</v>
      </c>
      <c r="D611" s="46">
        <v>210016</v>
      </c>
      <c r="E611" s="46">
        <v>170584</v>
      </c>
      <c r="F611">
        <v>1.07</v>
      </c>
      <c r="G611">
        <v>24.43</v>
      </c>
      <c r="H611" s="46">
        <v>1886474</v>
      </c>
      <c r="I611" s="46">
        <v>1728471</v>
      </c>
      <c r="J611" s="276">
        <v>9.14</v>
      </c>
      <c r="K611" s="286">
        <v>1</v>
      </c>
    </row>
    <row r="612" spans="1:11" customFormat="1" hidden="1">
      <c r="A612">
        <v>3089</v>
      </c>
      <c r="B612" t="s">
        <v>291</v>
      </c>
      <c r="C612" s="46">
        <v>35396</v>
      </c>
      <c r="D612" s="46">
        <v>14625</v>
      </c>
      <c r="E612" s="46">
        <v>46785</v>
      </c>
      <c r="F612">
        <v>142.02000000000001</v>
      </c>
      <c r="G612">
        <v>-24.34</v>
      </c>
      <c r="H612" s="46">
        <v>260251</v>
      </c>
      <c r="I612" s="46">
        <v>441318</v>
      </c>
      <c r="J612">
        <v>-41.02</v>
      </c>
      <c r="K612" s="286">
        <v>1</v>
      </c>
    </row>
    <row r="613" spans="1:11" customFormat="1" hidden="1">
      <c r="A613">
        <v>3088</v>
      </c>
      <c r="B613" t="s">
        <v>290</v>
      </c>
      <c r="C613" s="46">
        <v>442973</v>
      </c>
      <c r="D613" s="46">
        <v>423189</v>
      </c>
      <c r="E613" s="46">
        <v>294804</v>
      </c>
      <c r="F613">
        <v>4.67</v>
      </c>
      <c r="G613">
        <v>50.26</v>
      </c>
      <c r="H613" s="46">
        <v>3845825</v>
      </c>
      <c r="I613" s="46">
        <v>3598027</v>
      </c>
      <c r="J613">
        <v>6.88</v>
      </c>
      <c r="K613">
        <v>1</v>
      </c>
    </row>
    <row r="614" spans="1:11" customFormat="1" hidden="1">
      <c r="A614">
        <v>3086</v>
      </c>
      <c r="B614" t="s">
        <v>2291</v>
      </c>
      <c r="C614" s="46">
        <v>37274</v>
      </c>
      <c r="D614" s="46">
        <v>29035</v>
      </c>
      <c r="E614" s="46">
        <v>26920</v>
      </c>
      <c r="F614">
        <v>28.37</v>
      </c>
      <c r="G614">
        <v>38.46</v>
      </c>
      <c r="H614" s="46">
        <v>365256</v>
      </c>
      <c r="I614" s="46">
        <v>409873</v>
      </c>
      <c r="J614">
        <v>-10.88</v>
      </c>
      <c r="K614" s="286">
        <v>0</v>
      </c>
    </row>
    <row r="615" spans="1:11" customFormat="1" hidden="1">
      <c r="A615">
        <v>3085</v>
      </c>
      <c r="B615" t="s">
        <v>289</v>
      </c>
      <c r="C615" s="46">
        <v>29952</v>
      </c>
      <c r="D615" s="46">
        <v>22368</v>
      </c>
      <c r="E615" s="46">
        <v>29337</v>
      </c>
      <c r="F615">
        <v>33.9</v>
      </c>
      <c r="G615">
        <v>2.09</v>
      </c>
      <c r="H615" s="46">
        <v>276506</v>
      </c>
      <c r="I615" s="46">
        <v>292237</v>
      </c>
      <c r="J615">
        <v>-5.38</v>
      </c>
      <c r="K615" s="286">
        <v>1</v>
      </c>
    </row>
    <row r="616" spans="1:11" customFormat="1" hidden="1">
      <c r="A616">
        <v>3083</v>
      </c>
      <c r="B616" t="s">
        <v>2290</v>
      </c>
      <c r="C616" s="46">
        <v>29686</v>
      </c>
      <c r="D616" s="46">
        <v>25976</v>
      </c>
      <c r="E616" s="46">
        <v>22428</v>
      </c>
      <c r="F616">
        <v>14.28</v>
      </c>
      <c r="G616">
        <v>32.36</v>
      </c>
      <c r="H616" s="46">
        <v>286214</v>
      </c>
      <c r="I616" s="46">
        <v>360910</v>
      </c>
      <c r="J616">
        <v>-20.69</v>
      </c>
      <c r="K616" s="286">
        <v>0</v>
      </c>
    </row>
    <row r="617" spans="1:11" customFormat="1">
      <c r="A617" s="62" t="str">
        <f>HYPERLINK("http://tw.stock.yahoo.com/q/ta?s=2221","2221")</f>
        <v>2221</v>
      </c>
      <c r="B617" s="62" t="str">
        <f>HYPERLINK("http://tw.stock.yahoo.com/d/s/earning_2221.html","大甲永和")</f>
        <v>大甲永和</v>
      </c>
      <c r="C617" s="46">
        <v>145270</v>
      </c>
      <c r="D617" s="46">
        <v>84864</v>
      </c>
      <c r="E617" s="46">
        <v>68673</v>
      </c>
      <c r="F617">
        <v>71.17</v>
      </c>
      <c r="G617">
        <v>111.53</v>
      </c>
      <c r="H617" s="46">
        <v>704600</v>
      </c>
      <c r="I617" s="46">
        <v>574183</v>
      </c>
      <c r="J617">
        <v>22.71</v>
      </c>
      <c r="K617">
        <v>1</v>
      </c>
    </row>
    <row r="618" spans="1:11" customFormat="1" hidden="1">
      <c r="A618">
        <v>3078</v>
      </c>
      <c r="B618" t="s">
        <v>2060</v>
      </c>
      <c r="C618" s="46">
        <v>651419</v>
      </c>
      <c r="D618" s="46">
        <v>635594</v>
      </c>
      <c r="E618" s="46">
        <v>526879</v>
      </c>
      <c r="F618">
        <v>2.48</v>
      </c>
      <c r="G618">
        <v>23.63</v>
      </c>
      <c r="H618" s="46">
        <v>4493317</v>
      </c>
      <c r="I618" s="46">
        <v>4793249</v>
      </c>
      <c r="J618">
        <v>-6.25</v>
      </c>
      <c r="K618">
        <v>1</v>
      </c>
    </row>
    <row r="619" spans="1:11" customFormat="1" hidden="1">
      <c r="A619">
        <v>3073</v>
      </c>
      <c r="B619" t="s">
        <v>2006</v>
      </c>
      <c r="C619" s="46">
        <v>3271</v>
      </c>
      <c r="D619" s="46">
        <v>2554</v>
      </c>
      <c r="E619" s="46">
        <v>5672</v>
      </c>
      <c r="F619">
        <v>28.07</v>
      </c>
      <c r="G619">
        <v>-42.33</v>
      </c>
      <c r="H619" s="46">
        <v>35381</v>
      </c>
      <c r="I619" s="46">
        <v>63951</v>
      </c>
      <c r="J619">
        <v>-44.67</v>
      </c>
      <c r="K619">
        <v>0</v>
      </c>
    </row>
    <row r="620" spans="1:11" customFormat="1" hidden="1">
      <c r="A620">
        <v>3071</v>
      </c>
      <c r="B620" t="s">
        <v>2186</v>
      </c>
      <c r="C620" s="46">
        <v>187522</v>
      </c>
      <c r="D620" s="46">
        <v>212170</v>
      </c>
      <c r="E620" s="46">
        <v>216771</v>
      </c>
      <c r="F620">
        <v>-11.61</v>
      </c>
      <c r="G620">
        <v>-13.49</v>
      </c>
      <c r="H620" s="46">
        <v>1981714</v>
      </c>
      <c r="I620" s="46">
        <v>2181520</v>
      </c>
      <c r="J620">
        <v>-9.15</v>
      </c>
      <c r="K620" s="286">
        <v>0</v>
      </c>
    </row>
    <row r="621" spans="1:11" customFormat="1" hidden="1">
      <c r="A621">
        <v>3068</v>
      </c>
      <c r="B621" t="s">
        <v>288</v>
      </c>
      <c r="C621" s="46">
        <v>242485</v>
      </c>
      <c r="D621" s="46">
        <v>243435</v>
      </c>
      <c r="E621" s="46">
        <v>233421</v>
      </c>
      <c r="F621">
        <v>-0.39</v>
      </c>
      <c r="G621">
        <v>3.88</v>
      </c>
      <c r="H621" s="46">
        <v>2219206</v>
      </c>
      <c r="I621" s="46">
        <v>2201551</v>
      </c>
      <c r="J621">
        <v>0.8</v>
      </c>
      <c r="K621">
        <v>1</v>
      </c>
    </row>
    <row r="622" spans="1:11" customFormat="1" hidden="1">
      <c r="A622">
        <v>3067</v>
      </c>
      <c r="B622" t="s">
        <v>287</v>
      </c>
      <c r="C622" s="46">
        <v>21360</v>
      </c>
      <c r="D622" s="46">
        <v>22722</v>
      </c>
      <c r="E622" s="46">
        <v>27829</v>
      </c>
      <c r="F622">
        <v>-5.99</v>
      </c>
      <c r="G622">
        <v>-23.24</v>
      </c>
      <c r="H622" s="46">
        <v>247067</v>
      </c>
      <c r="I622" s="46">
        <v>248693</v>
      </c>
      <c r="J622">
        <v>-0.65</v>
      </c>
      <c r="K622">
        <v>0</v>
      </c>
    </row>
    <row r="623" spans="1:11" customFormat="1" hidden="1">
      <c r="A623">
        <v>3066</v>
      </c>
      <c r="B623" t="s">
        <v>2144</v>
      </c>
      <c r="C623" s="46">
        <v>35568</v>
      </c>
      <c r="D623" s="46">
        <v>42737</v>
      </c>
      <c r="E623" s="46">
        <v>43917</v>
      </c>
      <c r="F623">
        <v>-16.77</v>
      </c>
      <c r="G623">
        <v>-19.010000000000002</v>
      </c>
      <c r="H623" s="46">
        <v>417791</v>
      </c>
      <c r="I623" s="46">
        <v>488764</v>
      </c>
      <c r="J623">
        <v>-14.52</v>
      </c>
      <c r="K623" s="286">
        <v>0</v>
      </c>
    </row>
    <row r="624" spans="1:11" customFormat="1" hidden="1">
      <c r="A624">
        <v>3064</v>
      </c>
      <c r="B624" t="s">
        <v>2289</v>
      </c>
      <c r="C624" s="46">
        <v>13257</v>
      </c>
      <c r="D624" s="46">
        <v>30560</v>
      </c>
      <c r="E624" s="46">
        <v>7967</v>
      </c>
      <c r="F624">
        <v>-56.61</v>
      </c>
      <c r="G624">
        <v>66.39</v>
      </c>
      <c r="H624" s="46">
        <v>114487</v>
      </c>
      <c r="I624" s="46">
        <v>132620</v>
      </c>
      <c r="J624">
        <v>-13.67</v>
      </c>
      <c r="K624">
        <v>1</v>
      </c>
    </row>
    <row r="625" spans="1:11" customFormat="1" hidden="1">
      <c r="A625">
        <v>2926</v>
      </c>
      <c r="B625" t="s">
        <v>1470</v>
      </c>
      <c r="C625" s="46">
        <v>401784</v>
      </c>
      <c r="D625" s="46">
        <v>283284</v>
      </c>
      <c r="E625" s="46">
        <v>319891</v>
      </c>
      <c r="F625">
        <v>41.83</v>
      </c>
      <c r="G625">
        <v>25.6</v>
      </c>
      <c r="H625" s="46">
        <v>3043135</v>
      </c>
      <c r="I625" s="46">
        <v>2893901</v>
      </c>
      <c r="J625">
        <v>5.15</v>
      </c>
      <c r="K625">
        <v>1</v>
      </c>
    </row>
    <row r="626" spans="1:11" customFormat="1" hidden="1">
      <c r="A626">
        <v>2916</v>
      </c>
      <c r="B626" t="s">
        <v>2124</v>
      </c>
      <c r="C626" s="46">
        <v>174025</v>
      </c>
      <c r="D626" s="46">
        <v>84633</v>
      </c>
      <c r="E626" s="46">
        <v>188356</v>
      </c>
      <c r="F626">
        <v>105.62</v>
      </c>
      <c r="G626">
        <v>-7.6</v>
      </c>
      <c r="H626" s="46">
        <v>1105011</v>
      </c>
      <c r="I626" s="46">
        <v>1062253</v>
      </c>
      <c r="J626">
        <v>4.0199999999999996</v>
      </c>
      <c r="K626">
        <v>1</v>
      </c>
    </row>
    <row r="627" spans="1:11" customFormat="1" hidden="1">
      <c r="A627">
        <v>2734</v>
      </c>
      <c r="B627" t="s">
        <v>286</v>
      </c>
      <c r="C627" s="46">
        <v>150063</v>
      </c>
      <c r="D627" s="46">
        <v>157874</v>
      </c>
      <c r="E627" s="46">
        <v>135757</v>
      </c>
      <c r="F627">
        <v>-4.9400000000000004</v>
      </c>
      <c r="G627">
        <v>10.53</v>
      </c>
      <c r="H627" s="46">
        <v>1541050</v>
      </c>
      <c r="I627" s="46">
        <v>1390443</v>
      </c>
      <c r="J627">
        <v>10.83</v>
      </c>
      <c r="K627" s="286">
        <v>0</v>
      </c>
    </row>
    <row r="628" spans="1:11" customFormat="1" hidden="1">
      <c r="A628">
        <v>2732</v>
      </c>
      <c r="B628" t="s">
        <v>2119</v>
      </c>
      <c r="C628" s="46">
        <v>151210</v>
      </c>
      <c r="D628" s="46">
        <v>151806</v>
      </c>
      <c r="E628" s="46">
        <v>145067</v>
      </c>
      <c r="F628">
        <v>-0.39</v>
      </c>
      <c r="G628">
        <v>4.2300000000000004</v>
      </c>
      <c r="H628" s="46">
        <v>1335903</v>
      </c>
      <c r="I628" s="46">
        <v>1112297</v>
      </c>
      <c r="J628">
        <v>20.100000000000001</v>
      </c>
      <c r="K628">
        <v>1</v>
      </c>
    </row>
    <row r="629" spans="1:11" customFormat="1" hidden="1">
      <c r="A629">
        <v>2729</v>
      </c>
      <c r="B629" t="s">
        <v>2118</v>
      </c>
      <c r="C629" s="46">
        <v>276436</v>
      </c>
      <c r="D629" s="46">
        <v>252147</v>
      </c>
      <c r="E629" s="46">
        <v>234765</v>
      </c>
      <c r="F629">
        <v>9.6300000000000008</v>
      </c>
      <c r="G629">
        <v>17.75</v>
      </c>
      <c r="H629" s="46">
        <v>2884811</v>
      </c>
      <c r="I629" s="46">
        <v>2435380</v>
      </c>
      <c r="J629">
        <v>18.45</v>
      </c>
      <c r="K629" s="286">
        <v>0</v>
      </c>
    </row>
    <row r="630" spans="1:11" customFormat="1" hidden="1">
      <c r="A630">
        <v>2719</v>
      </c>
      <c r="B630" t="s">
        <v>285</v>
      </c>
      <c r="C630" s="46">
        <v>212532</v>
      </c>
      <c r="D630" s="46">
        <v>198687</v>
      </c>
      <c r="E630" s="46">
        <v>242129</v>
      </c>
      <c r="F630">
        <v>6.96</v>
      </c>
      <c r="G630">
        <v>-12.22</v>
      </c>
      <c r="H630" s="46">
        <v>2660212</v>
      </c>
      <c r="I630" s="46">
        <v>2747279</v>
      </c>
      <c r="J630">
        <v>-3.16</v>
      </c>
      <c r="K630">
        <v>0</v>
      </c>
    </row>
    <row r="631" spans="1:11" customFormat="1" hidden="1">
      <c r="A631">
        <v>2718</v>
      </c>
      <c r="B631" t="s">
        <v>1897</v>
      </c>
      <c r="C631" s="46">
        <v>27944</v>
      </c>
      <c r="D631" s="46">
        <v>18437</v>
      </c>
      <c r="E631" s="46">
        <v>23811</v>
      </c>
      <c r="F631">
        <v>51.56</v>
      </c>
      <c r="G631">
        <v>17.350000000000001</v>
      </c>
      <c r="H631" s="46">
        <v>232010</v>
      </c>
      <c r="I631" s="46">
        <v>220828</v>
      </c>
      <c r="J631">
        <v>5.0599999999999996</v>
      </c>
      <c r="K631" s="286">
        <v>1</v>
      </c>
    </row>
    <row r="632" spans="1:11" customFormat="1" hidden="1">
      <c r="A632">
        <v>2641</v>
      </c>
      <c r="B632" t="s">
        <v>2115</v>
      </c>
      <c r="C632" s="46">
        <v>64571</v>
      </c>
      <c r="D632" s="46">
        <v>57994</v>
      </c>
      <c r="E632" s="46">
        <v>56508</v>
      </c>
      <c r="F632">
        <v>11.34</v>
      </c>
      <c r="G632">
        <v>14.26</v>
      </c>
      <c r="H632" s="46">
        <v>614702</v>
      </c>
      <c r="I632" s="46">
        <v>561292</v>
      </c>
      <c r="J632">
        <v>9.51</v>
      </c>
      <c r="K632" s="286">
        <v>1</v>
      </c>
    </row>
    <row r="633" spans="1:11" customFormat="1" hidden="1">
      <c r="A633">
        <v>2636</v>
      </c>
      <c r="B633" t="s">
        <v>2279</v>
      </c>
      <c r="C633" s="46">
        <v>820558</v>
      </c>
      <c r="D633" s="46">
        <v>755570</v>
      </c>
      <c r="E633" s="46">
        <v>805372</v>
      </c>
      <c r="F633">
        <v>8.6</v>
      </c>
      <c r="G633">
        <v>1.88</v>
      </c>
      <c r="H633" s="46">
        <v>8201167</v>
      </c>
      <c r="I633" s="46">
        <v>7823139</v>
      </c>
      <c r="J633">
        <v>4.83</v>
      </c>
      <c r="K633">
        <v>0</v>
      </c>
    </row>
    <row r="634" spans="1:11" customFormat="1" hidden="1">
      <c r="A634">
        <v>2596</v>
      </c>
      <c r="B634" t="s">
        <v>2275</v>
      </c>
      <c r="C634" s="46">
        <v>201</v>
      </c>
      <c r="D634" s="46">
        <v>71</v>
      </c>
      <c r="E634" s="46">
        <v>56563</v>
      </c>
      <c r="F634">
        <v>183.09</v>
      </c>
      <c r="G634">
        <v>-99.64</v>
      </c>
      <c r="H634" s="46">
        <v>289529</v>
      </c>
      <c r="I634" s="46">
        <v>689925</v>
      </c>
      <c r="J634">
        <v>-58.03</v>
      </c>
      <c r="K634" s="286">
        <v>0</v>
      </c>
    </row>
    <row r="635" spans="1:11" customFormat="1" hidden="1">
      <c r="A635">
        <v>2235</v>
      </c>
      <c r="B635" t="s">
        <v>283</v>
      </c>
      <c r="C635" s="46">
        <v>71924</v>
      </c>
      <c r="D635" s="46">
        <v>73233</v>
      </c>
      <c r="E635" s="46">
        <v>69040</v>
      </c>
      <c r="F635">
        <v>-1.78</v>
      </c>
      <c r="G635">
        <v>4.17</v>
      </c>
      <c r="H635" s="46">
        <v>731001</v>
      </c>
      <c r="I635" s="46">
        <v>703527</v>
      </c>
      <c r="J635">
        <v>3.9</v>
      </c>
      <c r="K635" s="286">
        <v>0</v>
      </c>
    </row>
    <row r="636" spans="1:11" customFormat="1" hidden="1">
      <c r="A636">
        <v>2233</v>
      </c>
      <c r="B636" t="s">
        <v>282</v>
      </c>
      <c r="C636" s="46">
        <v>168216</v>
      </c>
      <c r="D636" s="46">
        <v>150580</v>
      </c>
      <c r="E636" s="46">
        <v>144211</v>
      </c>
      <c r="F636">
        <v>11.71</v>
      </c>
      <c r="G636">
        <v>16.64</v>
      </c>
      <c r="H636" s="46">
        <v>1617225</v>
      </c>
      <c r="I636" s="46">
        <v>1655179</v>
      </c>
      <c r="J636">
        <v>-2.29</v>
      </c>
      <c r="K636">
        <v>0</v>
      </c>
    </row>
    <row r="637" spans="1:11" customFormat="1" hidden="1">
      <c r="A637">
        <v>2230</v>
      </c>
      <c r="B637" t="s">
        <v>281</v>
      </c>
      <c r="C637" s="46">
        <v>21824</v>
      </c>
      <c r="D637" s="46">
        <v>29212</v>
      </c>
      <c r="E637" s="46">
        <v>31535</v>
      </c>
      <c r="F637">
        <v>-25.29</v>
      </c>
      <c r="G637">
        <v>-30.79</v>
      </c>
      <c r="H637" s="46">
        <v>300390</v>
      </c>
      <c r="I637" s="46">
        <v>293265</v>
      </c>
      <c r="J637">
        <v>2.42</v>
      </c>
      <c r="K637" s="286">
        <v>0</v>
      </c>
    </row>
    <row r="638" spans="1:11" customFormat="1">
      <c r="A638" s="62" t="str">
        <f>HYPERLINK("http://tw.stock.yahoo.com/q/ta?s=8433","8433")</f>
        <v>8433</v>
      </c>
      <c r="B638" s="62" t="str">
        <f>HYPERLINK("http://tw.stock.yahoo.com/d/s/earning_8433.html","弘帆")</f>
        <v>弘帆</v>
      </c>
      <c r="C638" s="46">
        <v>237118</v>
      </c>
      <c r="D638" s="46">
        <v>205525</v>
      </c>
      <c r="E638" s="46">
        <v>180297</v>
      </c>
      <c r="F638">
        <v>15.37</v>
      </c>
      <c r="G638">
        <v>31.51</v>
      </c>
      <c r="H638" s="46">
        <v>2046254</v>
      </c>
      <c r="I638" s="46">
        <v>1676718</v>
      </c>
      <c r="J638">
        <v>22.03</v>
      </c>
      <c r="K638">
        <v>1</v>
      </c>
    </row>
    <row r="639" spans="1:11" customFormat="1" hidden="1">
      <c r="A639">
        <v>2067</v>
      </c>
      <c r="B639" t="s">
        <v>1458</v>
      </c>
      <c r="C639" s="46">
        <v>66302</v>
      </c>
      <c r="D639" s="46">
        <v>74894</v>
      </c>
      <c r="E639" s="46">
        <v>82984</v>
      </c>
      <c r="F639">
        <v>-11.47</v>
      </c>
      <c r="G639">
        <v>-20.100000000000001</v>
      </c>
      <c r="H639" s="46">
        <v>676804</v>
      </c>
      <c r="I639" s="46">
        <v>990449</v>
      </c>
      <c r="J639">
        <v>-31.66</v>
      </c>
      <c r="K639">
        <v>0</v>
      </c>
    </row>
    <row r="640" spans="1:11" customFormat="1" hidden="1">
      <c r="A640">
        <v>2066</v>
      </c>
      <c r="B640" t="s">
        <v>280</v>
      </c>
      <c r="C640" s="46">
        <v>108195</v>
      </c>
      <c r="D640" s="46">
        <v>111559</v>
      </c>
      <c r="E640" s="46">
        <v>104357</v>
      </c>
      <c r="F640">
        <v>-3.01</v>
      </c>
      <c r="G640">
        <v>3.67</v>
      </c>
      <c r="H640" s="46">
        <v>1083658</v>
      </c>
      <c r="I640" s="46">
        <v>1048893</v>
      </c>
      <c r="J640">
        <v>3.31</v>
      </c>
      <c r="K640" s="286">
        <v>0</v>
      </c>
    </row>
    <row r="641" spans="1:11" customFormat="1" hidden="1">
      <c r="A641">
        <v>2064</v>
      </c>
      <c r="B641" t="s">
        <v>279</v>
      </c>
      <c r="C641" s="46">
        <v>192689</v>
      </c>
      <c r="D641" s="46">
        <v>141925</v>
      </c>
      <c r="E641" s="46">
        <v>255272</v>
      </c>
      <c r="F641">
        <v>35.76</v>
      </c>
      <c r="G641">
        <v>-24.51</v>
      </c>
      <c r="H641" s="46">
        <v>1957097</v>
      </c>
      <c r="I641" s="46">
        <v>2346766</v>
      </c>
      <c r="J641">
        <v>-16.600000000000001</v>
      </c>
      <c r="K641">
        <v>0</v>
      </c>
    </row>
    <row r="642" spans="1:11" customFormat="1" hidden="1">
      <c r="A642">
        <v>2063</v>
      </c>
      <c r="B642" t="s">
        <v>278</v>
      </c>
      <c r="C642" s="46">
        <v>64692</v>
      </c>
      <c r="D642" s="46">
        <v>52511</v>
      </c>
      <c r="E642" s="46">
        <v>68610</v>
      </c>
      <c r="F642">
        <v>23.19</v>
      </c>
      <c r="G642">
        <v>-5.71</v>
      </c>
      <c r="H642" s="46">
        <v>549568</v>
      </c>
      <c r="I642" s="46">
        <v>599626</v>
      </c>
      <c r="J642">
        <v>-8.34</v>
      </c>
      <c r="K642" s="286">
        <v>1</v>
      </c>
    </row>
    <row r="643" spans="1:11" customFormat="1" hidden="1">
      <c r="A643">
        <v>2061</v>
      </c>
      <c r="B643" t="s">
        <v>277</v>
      </c>
      <c r="C643" s="46">
        <v>100925</v>
      </c>
      <c r="D643" s="46">
        <v>73650</v>
      </c>
      <c r="E643" s="46">
        <v>87805</v>
      </c>
      <c r="F643">
        <v>37.03</v>
      </c>
      <c r="G643">
        <v>14.94</v>
      </c>
      <c r="H643" s="46">
        <v>908486</v>
      </c>
      <c r="I643" s="46">
        <v>1071552</v>
      </c>
      <c r="J643">
        <v>-15.21</v>
      </c>
      <c r="K643">
        <v>1</v>
      </c>
    </row>
    <row r="644" spans="1:11" customFormat="1" hidden="1">
      <c r="A644">
        <v>2035</v>
      </c>
      <c r="B644" t="s">
        <v>2003</v>
      </c>
      <c r="C644" s="46">
        <v>1089319</v>
      </c>
      <c r="D644" s="46">
        <v>1084122</v>
      </c>
      <c r="E644" s="46">
        <v>928522</v>
      </c>
      <c r="F644">
        <v>0.47</v>
      </c>
      <c r="G644">
        <v>17.309999999999999</v>
      </c>
      <c r="H644" s="46">
        <v>10970177</v>
      </c>
      <c r="I644" s="46">
        <v>15033089</v>
      </c>
      <c r="J644">
        <v>-27.02</v>
      </c>
      <c r="K644">
        <v>0</v>
      </c>
    </row>
    <row r="645" spans="1:11" customFormat="1" hidden="1">
      <c r="A645">
        <v>1815</v>
      </c>
      <c r="B645" t="s">
        <v>2059</v>
      </c>
      <c r="C645" s="46">
        <v>404993</v>
      </c>
      <c r="D645" s="46">
        <v>390110</v>
      </c>
      <c r="E645" s="46">
        <v>411432</v>
      </c>
      <c r="F645">
        <v>3.81</v>
      </c>
      <c r="G645">
        <v>-1.56</v>
      </c>
      <c r="H645" s="46">
        <v>4098267</v>
      </c>
      <c r="I645" s="46">
        <v>3877175</v>
      </c>
      <c r="J645">
        <v>5.7</v>
      </c>
      <c r="K645" s="286">
        <v>0</v>
      </c>
    </row>
    <row r="646" spans="1:11" customFormat="1" hidden="1">
      <c r="A646">
        <v>1813</v>
      </c>
      <c r="B646" t="s">
        <v>276</v>
      </c>
      <c r="C646" s="46">
        <v>34389</v>
      </c>
      <c r="D646" s="46">
        <v>29928</v>
      </c>
      <c r="E646" s="46">
        <v>28621</v>
      </c>
      <c r="F646">
        <v>14.9</v>
      </c>
      <c r="G646">
        <v>20.149999999999999</v>
      </c>
      <c r="H646" s="46">
        <v>338162</v>
      </c>
      <c r="I646" s="46">
        <v>320402</v>
      </c>
      <c r="J646">
        <v>5.54</v>
      </c>
      <c r="K646">
        <v>0</v>
      </c>
    </row>
    <row r="647" spans="1:11" customFormat="1" hidden="1">
      <c r="A647">
        <v>1799</v>
      </c>
      <c r="B647" t="s">
        <v>275</v>
      </c>
      <c r="C647" s="46">
        <v>22300</v>
      </c>
      <c r="D647" s="46">
        <v>20355</v>
      </c>
      <c r="E647" s="46">
        <v>24665</v>
      </c>
      <c r="F647">
        <v>9.5500000000000007</v>
      </c>
      <c r="G647">
        <v>-9.58</v>
      </c>
      <c r="H647" s="46">
        <v>397672</v>
      </c>
      <c r="I647" s="46">
        <v>97606</v>
      </c>
      <c r="J647">
        <v>307.42</v>
      </c>
      <c r="K647" s="286">
        <v>0</v>
      </c>
    </row>
    <row r="648" spans="1:11" customFormat="1" hidden="1">
      <c r="A648">
        <v>1795</v>
      </c>
      <c r="B648" t="s">
        <v>2141</v>
      </c>
      <c r="C648" s="46">
        <v>453161</v>
      </c>
      <c r="D648" s="46">
        <v>460303</v>
      </c>
      <c r="E648" s="46">
        <v>184525</v>
      </c>
      <c r="F648" s="276">
        <v>-1.55</v>
      </c>
      <c r="G648">
        <v>145.58000000000001</v>
      </c>
      <c r="H648" s="46">
        <v>4499814</v>
      </c>
      <c r="I648" s="46">
        <v>1833648</v>
      </c>
      <c r="J648">
        <v>145.4</v>
      </c>
      <c r="K648">
        <v>0</v>
      </c>
    </row>
    <row r="649" spans="1:11" customFormat="1" hidden="1">
      <c r="A649">
        <v>1788</v>
      </c>
      <c r="B649" t="s">
        <v>1985</v>
      </c>
      <c r="C649" s="46">
        <v>242047</v>
      </c>
      <c r="D649" s="46">
        <v>234133</v>
      </c>
      <c r="E649" s="46">
        <v>219060</v>
      </c>
      <c r="F649">
        <v>3.38</v>
      </c>
      <c r="G649">
        <v>10.49</v>
      </c>
      <c r="H649" s="46">
        <v>2236311</v>
      </c>
      <c r="I649" s="46">
        <v>2218914</v>
      </c>
      <c r="J649">
        <v>0.78</v>
      </c>
      <c r="K649">
        <v>1</v>
      </c>
    </row>
    <row r="650" spans="1:11" customFormat="1" hidden="1">
      <c r="A650">
        <v>1787</v>
      </c>
      <c r="B650" t="s">
        <v>274</v>
      </c>
      <c r="C650" s="46">
        <v>126890</v>
      </c>
      <c r="D650" s="46">
        <v>135477</v>
      </c>
      <c r="E650" s="46">
        <v>115104</v>
      </c>
      <c r="F650">
        <v>-6.33</v>
      </c>
      <c r="G650">
        <v>10.23</v>
      </c>
      <c r="H650" s="46">
        <v>1215599</v>
      </c>
      <c r="I650" s="46">
        <v>1145606</v>
      </c>
      <c r="J650">
        <v>6.1</v>
      </c>
      <c r="K650">
        <v>0</v>
      </c>
    </row>
    <row r="651" spans="1:11" customFormat="1" hidden="1">
      <c r="A651">
        <v>1785</v>
      </c>
      <c r="B651" t="s">
        <v>1453</v>
      </c>
      <c r="C651" s="46">
        <v>2798014</v>
      </c>
      <c r="D651" s="46">
        <v>5752873</v>
      </c>
      <c r="E651" s="46">
        <v>4077892</v>
      </c>
      <c r="F651">
        <v>-51.36</v>
      </c>
      <c r="G651">
        <v>-31.38</v>
      </c>
      <c r="H651" s="46">
        <v>53982948</v>
      </c>
      <c r="I651" s="46">
        <v>41032906</v>
      </c>
      <c r="J651">
        <v>31.56</v>
      </c>
      <c r="K651">
        <v>0</v>
      </c>
    </row>
    <row r="652" spans="1:11" customFormat="1" hidden="1">
      <c r="A652">
        <v>1784</v>
      </c>
      <c r="B652" t="s">
        <v>2169</v>
      </c>
      <c r="C652" s="46">
        <v>58641</v>
      </c>
      <c r="D652" s="46">
        <v>54328</v>
      </c>
      <c r="E652" s="46">
        <v>56491</v>
      </c>
      <c r="F652">
        <v>7.93</v>
      </c>
      <c r="G652">
        <v>3.8</v>
      </c>
      <c r="H652" s="46">
        <v>527941</v>
      </c>
      <c r="I652" s="46">
        <v>526410</v>
      </c>
      <c r="J652">
        <v>0.28999999999999998</v>
      </c>
      <c r="K652">
        <v>1</v>
      </c>
    </row>
    <row r="653" spans="1:11" customFormat="1" hidden="1">
      <c r="A653">
        <v>1781</v>
      </c>
      <c r="B653" t="s">
        <v>1984</v>
      </c>
      <c r="C653" s="46">
        <v>39526</v>
      </c>
      <c r="D653" s="46">
        <v>83333</v>
      </c>
      <c r="E653" s="46">
        <v>55421</v>
      </c>
      <c r="F653">
        <v>-52.56</v>
      </c>
      <c r="G653">
        <v>-28.68</v>
      </c>
      <c r="H653" s="46">
        <v>607769</v>
      </c>
      <c r="I653" s="46">
        <v>533878</v>
      </c>
      <c r="J653">
        <v>13.84</v>
      </c>
      <c r="K653">
        <v>0</v>
      </c>
    </row>
    <row r="654" spans="1:11" customFormat="1" hidden="1">
      <c r="A654">
        <v>1777</v>
      </c>
      <c r="B654" t="s">
        <v>273</v>
      </c>
      <c r="C654" s="46">
        <v>54326</v>
      </c>
      <c r="D654" s="46">
        <v>57973</v>
      </c>
      <c r="E654" s="46">
        <v>50696</v>
      </c>
      <c r="F654">
        <v>-6.29</v>
      </c>
      <c r="G654">
        <v>7.16</v>
      </c>
      <c r="H654" s="46">
        <v>557478</v>
      </c>
      <c r="I654" s="46">
        <v>511658</v>
      </c>
      <c r="J654">
        <v>8.9499999999999993</v>
      </c>
      <c r="K654">
        <v>0</v>
      </c>
    </row>
    <row r="655" spans="1:11" customFormat="1" hidden="1">
      <c r="A655">
        <v>1752</v>
      </c>
      <c r="B655" t="s">
        <v>272</v>
      </c>
      <c r="C655" s="46">
        <v>131672</v>
      </c>
      <c r="D655" s="46">
        <v>111269</v>
      </c>
      <c r="E655" s="46">
        <v>119411</v>
      </c>
      <c r="F655">
        <v>18.329999999999998</v>
      </c>
      <c r="G655">
        <v>10.26</v>
      </c>
      <c r="H655" s="46">
        <v>1240864</v>
      </c>
      <c r="I655" s="46">
        <v>1037286</v>
      </c>
      <c r="J655">
        <v>19.62</v>
      </c>
      <c r="K655">
        <v>1</v>
      </c>
    </row>
    <row r="656" spans="1:11" customFormat="1" hidden="1">
      <c r="A656">
        <v>1742</v>
      </c>
      <c r="B656" t="s">
        <v>542</v>
      </c>
      <c r="C656" s="46">
        <v>48202</v>
      </c>
      <c r="D656" s="46">
        <v>62294</v>
      </c>
      <c r="E656" s="46">
        <v>76413</v>
      </c>
      <c r="F656">
        <v>-22.62</v>
      </c>
      <c r="G656">
        <v>-36.909999999999997</v>
      </c>
      <c r="H656" s="46">
        <v>526988</v>
      </c>
      <c r="I656" s="46">
        <v>1089881</v>
      </c>
      <c r="J656" s="276">
        <v>-51.64</v>
      </c>
      <c r="K656">
        <v>0</v>
      </c>
    </row>
    <row r="657" spans="1:11" customFormat="1">
      <c r="A657" s="62" t="str">
        <f>HYPERLINK("http://tw.stock.yahoo.com/q/ta?s=4160","4160")</f>
        <v>4160</v>
      </c>
      <c r="B657" s="62" t="str">
        <f>HYPERLINK("http://tw.stock.yahoo.com/d/s/earning_4160.html","創源生技")</f>
        <v>創源生技</v>
      </c>
      <c r="C657" s="46">
        <v>27501</v>
      </c>
      <c r="D657" s="46">
        <v>22211</v>
      </c>
      <c r="E657" s="46">
        <v>17101</v>
      </c>
      <c r="F657">
        <v>23.81</v>
      </c>
      <c r="G657">
        <v>60.81</v>
      </c>
      <c r="H657" s="46">
        <v>221939</v>
      </c>
      <c r="I657" s="46">
        <v>182089</v>
      </c>
      <c r="J657">
        <v>21.88</v>
      </c>
      <c r="K657">
        <v>1</v>
      </c>
    </row>
    <row r="658" spans="1:11" customFormat="1" hidden="1">
      <c r="A658">
        <v>1597</v>
      </c>
      <c r="B658" t="s">
        <v>271</v>
      </c>
      <c r="C658" s="46">
        <v>73239</v>
      </c>
      <c r="D658" s="46">
        <v>82773</v>
      </c>
      <c r="E658" s="46">
        <v>72115</v>
      </c>
      <c r="F658">
        <v>-11.51</v>
      </c>
      <c r="G658">
        <v>1.55</v>
      </c>
      <c r="H658" s="46">
        <v>839712</v>
      </c>
      <c r="I658" s="46">
        <v>850285</v>
      </c>
      <c r="J658">
        <v>-1.24</v>
      </c>
      <c r="K658">
        <v>0</v>
      </c>
    </row>
    <row r="659" spans="1:11" customFormat="1" hidden="1">
      <c r="A659">
        <v>1595</v>
      </c>
      <c r="B659" t="s">
        <v>2058</v>
      </c>
      <c r="C659" s="46">
        <v>39936</v>
      </c>
      <c r="D659" s="46">
        <v>77604</v>
      </c>
      <c r="E659" s="46">
        <v>74202</v>
      </c>
      <c r="F659">
        <v>-48.53</v>
      </c>
      <c r="G659">
        <v>-46.17</v>
      </c>
      <c r="H659" s="46">
        <v>985572</v>
      </c>
      <c r="I659" s="46">
        <v>1170071</v>
      </c>
      <c r="J659">
        <v>-15.76</v>
      </c>
      <c r="K659" s="286">
        <v>0</v>
      </c>
    </row>
    <row r="660" spans="1:11" customFormat="1" hidden="1">
      <c r="A660">
        <v>1593</v>
      </c>
      <c r="B660" t="s">
        <v>270</v>
      </c>
      <c r="C660" s="46">
        <v>74384</v>
      </c>
      <c r="D660" s="46">
        <v>71216</v>
      </c>
      <c r="E660" s="46">
        <v>85292</v>
      </c>
      <c r="F660">
        <v>4.4400000000000004</v>
      </c>
      <c r="G660">
        <v>-12.78</v>
      </c>
      <c r="H660" s="46">
        <v>696945</v>
      </c>
      <c r="I660" s="46">
        <v>746726</v>
      </c>
      <c r="J660">
        <v>-6.66</v>
      </c>
      <c r="K660">
        <v>1</v>
      </c>
    </row>
    <row r="661" spans="1:11" customFormat="1" hidden="1">
      <c r="A661">
        <v>1586</v>
      </c>
      <c r="B661" t="s">
        <v>2159</v>
      </c>
      <c r="C661" s="46">
        <v>141730</v>
      </c>
      <c r="D661" s="46">
        <v>120813</v>
      </c>
      <c r="E661" s="46">
        <v>150874</v>
      </c>
      <c r="F661">
        <v>17.309999999999999</v>
      </c>
      <c r="G661">
        <v>-6.06</v>
      </c>
      <c r="H661" s="46">
        <v>1344128</v>
      </c>
      <c r="I661" s="46">
        <v>1365621</v>
      </c>
      <c r="J661">
        <v>-1.57</v>
      </c>
      <c r="K661">
        <v>1</v>
      </c>
    </row>
    <row r="662" spans="1:11" customFormat="1" hidden="1">
      <c r="A662">
        <v>1584</v>
      </c>
      <c r="B662" t="s">
        <v>2282</v>
      </c>
      <c r="C662" s="46">
        <v>43143</v>
      </c>
      <c r="D662" s="46">
        <v>51693</v>
      </c>
      <c r="E662" s="46">
        <v>80012</v>
      </c>
      <c r="F662">
        <v>-16.53</v>
      </c>
      <c r="G662">
        <v>-46.07</v>
      </c>
      <c r="H662" s="46">
        <v>861821</v>
      </c>
      <c r="I662" s="46">
        <v>922951</v>
      </c>
      <c r="J662">
        <v>-6.62</v>
      </c>
      <c r="K662">
        <v>0</v>
      </c>
    </row>
    <row r="663" spans="1:11" customFormat="1" hidden="1">
      <c r="A663">
        <v>1580</v>
      </c>
      <c r="B663" t="s">
        <v>1973</v>
      </c>
      <c r="C663" s="46">
        <v>320784</v>
      </c>
      <c r="D663" s="46">
        <v>366978</v>
      </c>
      <c r="E663" s="46">
        <v>362213</v>
      </c>
      <c r="F663">
        <v>-12.58</v>
      </c>
      <c r="G663">
        <v>-11.43</v>
      </c>
      <c r="H663" s="46">
        <v>3239629</v>
      </c>
      <c r="I663" s="46">
        <v>3389076</v>
      </c>
      <c r="J663">
        <v>-4.4000000000000004</v>
      </c>
      <c r="K663">
        <v>0</v>
      </c>
    </row>
    <row r="664" spans="1:11" customFormat="1">
      <c r="A664" s="62" t="str">
        <f>HYPERLINK("http://tw.stock.yahoo.com/q/ta?s=3115","3115")</f>
        <v>3115</v>
      </c>
      <c r="B664" s="62" t="str">
        <f>HYPERLINK("http://tw.stock.yahoo.com/d/s/earning_3115.html","寶島極")</f>
        <v>寶島極</v>
      </c>
      <c r="C664" s="46">
        <v>81931</v>
      </c>
      <c r="D664" s="46">
        <v>76801</v>
      </c>
      <c r="E664" s="46">
        <v>69935</v>
      </c>
      <c r="F664">
        <v>6.67</v>
      </c>
      <c r="G664">
        <v>17.149999999999999</v>
      </c>
      <c r="H664" s="46">
        <v>744931</v>
      </c>
      <c r="I664" s="46">
        <v>613945</v>
      </c>
      <c r="J664">
        <v>21.33</v>
      </c>
      <c r="K664" s="286">
        <v>1</v>
      </c>
    </row>
    <row r="665" spans="1:11" customFormat="1" hidden="1">
      <c r="A665">
        <v>1569</v>
      </c>
      <c r="B665" t="s">
        <v>269</v>
      </c>
      <c r="C665" s="46">
        <v>221920</v>
      </c>
      <c r="D665" s="46">
        <v>239965</v>
      </c>
      <c r="E665" s="46">
        <v>209479</v>
      </c>
      <c r="F665">
        <v>-7.51</v>
      </c>
      <c r="G665">
        <v>5.93</v>
      </c>
      <c r="H665" s="46">
        <v>1901164</v>
      </c>
      <c r="I665" s="46">
        <v>2128538</v>
      </c>
      <c r="J665">
        <v>-10.68</v>
      </c>
      <c r="K665">
        <v>1</v>
      </c>
    </row>
    <row r="666" spans="1:11" customFormat="1">
      <c r="A666" s="62" t="str">
        <f>HYPERLINK("http://tw.stock.yahoo.com/q/ta?s=1599","1599")</f>
        <v>1599</v>
      </c>
      <c r="B666" s="62" t="str">
        <f>HYPERLINK("http://tw.stock.yahoo.com/d/s/earning_1599.html","宏佳騰")</f>
        <v>宏佳騰</v>
      </c>
      <c r="C666" s="46">
        <v>417918</v>
      </c>
      <c r="D666" s="46">
        <v>385803</v>
      </c>
      <c r="E666" s="46">
        <v>385425</v>
      </c>
      <c r="F666">
        <v>8.32</v>
      </c>
      <c r="G666">
        <v>8.43</v>
      </c>
      <c r="H666" s="46">
        <v>2507481</v>
      </c>
      <c r="I666" s="46">
        <v>2071758</v>
      </c>
      <c r="J666">
        <v>21.03</v>
      </c>
      <c r="K666" s="286">
        <v>1</v>
      </c>
    </row>
    <row r="667" spans="1:11" customFormat="1" hidden="1">
      <c r="A667" s="262">
        <v>1565</v>
      </c>
      <c r="B667" s="262" t="s">
        <v>1983</v>
      </c>
      <c r="C667" s="284">
        <v>546170</v>
      </c>
      <c r="D667" s="284">
        <v>534045</v>
      </c>
      <c r="E667" s="284">
        <v>435545</v>
      </c>
      <c r="F667" s="27">
        <v>2.27</v>
      </c>
      <c r="G667" s="27">
        <v>25.39</v>
      </c>
      <c r="H667" s="284">
        <v>4771586</v>
      </c>
      <c r="I667" s="284">
        <v>4506529</v>
      </c>
      <c r="J667" s="27">
        <v>5.88</v>
      </c>
      <c r="K667" s="287">
        <v>1</v>
      </c>
    </row>
    <row r="668" spans="1:11" customFormat="1" hidden="1">
      <c r="A668">
        <v>1336</v>
      </c>
      <c r="B668" t="s">
        <v>267</v>
      </c>
      <c r="C668" s="46">
        <v>211943</v>
      </c>
      <c r="D668" s="46">
        <v>153681</v>
      </c>
      <c r="E668" s="46">
        <v>146552</v>
      </c>
      <c r="F668">
        <v>37.909999999999997</v>
      </c>
      <c r="G668">
        <v>44.61</v>
      </c>
      <c r="H668" s="46">
        <v>1438357</v>
      </c>
      <c r="I668" s="46">
        <v>1754566</v>
      </c>
      <c r="J668">
        <v>-18.02</v>
      </c>
      <c r="K668">
        <v>1</v>
      </c>
    </row>
    <row r="669" spans="1:11" customFormat="1" hidden="1">
      <c r="A669">
        <v>1333</v>
      </c>
      <c r="B669" t="s">
        <v>266</v>
      </c>
      <c r="C669" s="46">
        <v>62751</v>
      </c>
      <c r="D669" s="46">
        <v>76148</v>
      </c>
      <c r="E669" s="46">
        <v>83592</v>
      </c>
      <c r="F669">
        <v>-17.59</v>
      </c>
      <c r="G669">
        <v>-24.93</v>
      </c>
      <c r="H669" s="46">
        <v>722736</v>
      </c>
      <c r="I669" s="46">
        <v>968878</v>
      </c>
      <c r="J669">
        <v>-25.4</v>
      </c>
      <c r="K669" s="286">
        <v>0</v>
      </c>
    </row>
    <row r="670" spans="1:11" customFormat="1" hidden="1">
      <c r="A670">
        <v>1264</v>
      </c>
      <c r="B670" t="s">
        <v>265</v>
      </c>
      <c r="C670" s="46">
        <v>312206</v>
      </c>
      <c r="D670" s="46">
        <v>342750</v>
      </c>
      <c r="E670" s="46">
        <v>298806</v>
      </c>
      <c r="F670">
        <v>-8.91</v>
      </c>
      <c r="G670">
        <v>4.4800000000000004</v>
      </c>
      <c r="H670" s="46">
        <v>3150775</v>
      </c>
      <c r="I670" s="46">
        <v>2800437</v>
      </c>
      <c r="J670">
        <v>12.51</v>
      </c>
      <c r="K670">
        <v>0</v>
      </c>
    </row>
    <row r="671" spans="1:11" customFormat="1" hidden="1">
      <c r="A671">
        <v>1259</v>
      </c>
      <c r="B671" t="s">
        <v>264</v>
      </c>
      <c r="C671" s="46">
        <v>371676</v>
      </c>
      <c r="D671" s="46">
        <v>370414</v>
      </c>
      <c r="E671" s="46">
        <v>323129</v>
      </c>
      <c r="F671">
        <v>0.34</v>
      </c>
      <c r="G671">
        <v>15.02</v>
      </c>
      <c r="H671" s="46">
        <v>3714800</v>
      </c>
      <c r="I671" s="46">
        <v>3599067</v>
      </c>
      <c r="J671">
        <v>3.21</v>
      </c>
      <c r="K671" s="286">
        <v>0</v>
      </c>
    </row>
    <row r="672" spans="1:11" customFormat="1" hidden="1">
      <c r="C672" s="46"/>
      <c r="D672" s="46"/>
      <c r="E672" s="46"/>
      <c r="H672" s="46"/>
      <c r="I672" s="46"/>
      <c r="K672" s="286"/>
    </row>
    <row r="673" spans="1:11" customFormat="1" hidden="1">
      <c r="C673" s="46" t="s">
        <v>1938</v>
      </c>
      <c r="D673" s="46"/>
      <c r="E673" s="46"/>
      <c r="H673" s="46" t="s">
        <v>1939</v>
      </c>
      <c r="I673" s="46"/>
      <c r="K673" t="s">
        <v>1940</v>
      </c>
    </row>
    <row r="674" spans="1:11" customFormat="1" hidden="1">
      <c r="A674" s="262" t="str">
        <f>HYPERLINK("http://tw.stock.yahoo.com/q/ta?s=","")</f>
        <v/>
      </c>
      <c r="B674" s="262" t="str">
        <f>HYPERLINK("http://tw.stock.yahoo.com/d/s/earning_.html","")</f>
        <v/>
      </c>
      <c r="C674" s="27"/>
      <c r="D674" s="27"/>
      <c r="E674" s="27"/>
      <c r="F674" s="27"/>
      <c r="G674" s="27"/>
      <c r="H674" s="27"/>
      <c r="I674" s="27"/>
      <c r="J674" s="27"/>
      <c r="K674" s="287"/>
    </row>
    <row r="675" spans="1:11" customFormat="1" hidden="1"/>
    <row r="676" spans="1:11" customFormat="1" hidden="1"/>
    <row r="677" spans="1:11" customFormat="1" hidden="1"/>
    <row r="678" spans="1:11" customFormat="1" hidden="1"/>
    <row r="679" spans="1:11" customFormat="1" hidden="1"/>
    <row r="680" spans="1:11" customFormat="1" hidden="1"/>
    <row r="681" spans="1:11" customFormat="1" hidden="1"/>
    <row r="682" spans="1:11" customFormat="1" hidden="1"/>
    <row r="683" spans="1:11" customFormat="1" hidden="1"/>
    <row r="684" spans="1:11" customFormat="1" hidden="1"/>
    <row r="685" spans="1:11" customFormat="1" hidden="1"/>
    <row r="686" spans="1:11" customFormat="1" hidden="1"/>
    <row r="687" spans="1:11" customFormat="1" hidden="1"/>
    <row r="688" spans="1:11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spans="1:2" customFormat="1"/>
    <row r="4994" spans="1:2" customFormat="1"/>
    <row r="4995" spans="1:2" customFormat="1"/>
    <row r="4996" spans="1:2" customFormat="1"/>
    <row r="4997" spans="1:2" customFormat="1"/>
    <row r="4998" spans="1:2" customFormat="1"/>
    <row r="4999" spans="1:2" customFormat="1"/>
    <row r="5000" spans="1:2" customFormat="1"/>
    <row r="5001" spans="1:2">
      <c r="A5001" s="262" t="str">
        <f t="shared" ref="A5001:A5052" si="0">HYPERLINK("http://tw.stock.yahoo.com/q/ta?s=","")</f>
        <v/>
      </c>
      <c r="B5001" s="262" t="str">
        <f t="shared" ref="B5001:B5052" si="1">HYPERLINK("http://tw.stock.yahoo.com/d/s/earning_.html","")</f>
        <v/>
      </c>
    </row>
    <row r="5002" spans="1:2">
      <c r="A5002" s="262" t="str">
        <f t="shared" si="0"/>
        <v/>
      </c>
      <c r="B5002" s="262" t="str">
        <f t="shared" si="1"/>
        <v/>
      </c>
    </row>
    <row r="5003" spans="1:2">
      <c r="A5003" s="262" t="str">
        <f t="shared" si="0"/>
        <v/>
      </c>
      <c r="B5003" s="262" t="str">
        <f t="shared" si="1"/>
        <v/>
      </c>
    </row>
    <row r="5004" spans="1:2">
      <c r="A5004" s="262" t="str">
        <f t="shared" si="0"/>
        <v/>
      </c>
      <c r="B5004" s="262" t="str">
        <f t="shared" si="1"/>
        <v/>
      </c>
    </row>
    <row r="5005" spans="1:2">
      <c r="A5005" s="262" t="str">
        <f t="shared" si="0"/>
        <v/>
      </c>
      <c r="B5005" s="262" t="str">
        <f t="shared" si="1"/>
        <v/>
      </c>
    </row>
    <row r="5006" spans="1:2">
      <c r="A5006" s="262" t="str">
        <f t="shared" si="0"/>
        <v/>
      </c>
      <c r="B5006" s="262" t="str">
        <f t="shared" si="1"/>
        <v/>
      </c>
    </row>
    <row r="5007" spans="1:2">
      <c r="A5007" s="262" t="str">
        <f t="shared" si="0"/>
        <v/>
      </c>
      <c r="B5007" s="262" t="str">
        <f t="shared" si="1"/>
        <v/>
      </c>
    </row>
    <row r="5008" spans="1:2">
      <c r="A5008" s="262" t="str">
        <f t="shared" si="0"/>
        <v/>
      </c>
      <c r="B5008" s="262" t="str">
        <f t="shared" si="1"/>
        <v/>
      </c>
    </row>
    <row r="5009" spans="1:2">
      <c r="A5009" s="262" t="str">
        <f t="shared" si="0"/>
        <v/>
      </c>
      <c r="B5009" s="262" t="str">
        <f t="shared" si="1"/>
        <v/>
      </c>
    </row>
    <row r="5010" spans="1:2">
      <c r="A5010" s="262" t="str">
        <f t="shared" si="0"/>
        <v/>
      </c>
      <c r="B5010" s="262" t="str">
        <f t="shared" si="1"/>
        <v/>
      </c>
    </row>
    <row r="5011" spans="1:2">
      <c r="A5011" s="262" t="str">
        <f t="shared" si="0"/>
        <v/>
      </c>
      <c r="B5011" s="262" t="str">
        <f t="shared" si="1"/>
        <v/>
      </c>
    </row>
    <row r="5012" spans="1:2">
      <c r="A5012" s="262" t="str">
        <f t="shared" si="0"/>
        <v/>
      </c>
      <c r="B5012" s="262" t="str">
        <f t="shared" si="1"/>
        <v/>
      </c>
    </row>
    <row r="5013" spans="1:2">
      <c r="A5013" s="262" t="str">
        <f t="shared" si="0"/>
        <v/>
      </c>
      <c r="B5013" s="262" t="str">
        <f t="shared" si="1"/>
        <v/>
      </c>
    </row>
    <row r="5014" spans="1:2">
      <c r="A5014" s="262" t="str">
        <f t="shared" si="0"/>
        <v/>
      </c>
      <c r="B5014" s="262" t="str">
        <f t="shared" si="1"/>
        <v/>
      </c>
    </row>
    <row r="5015" spans="1:2">
      <c r="A5015" s="262" t="str">
        <f t="shared" si="0"/>
        <v/>
      </c>
      <c r="B5015" s="262" t="str">
        <f t="shared" si="1"/>
        <v/>
      </c>
    </row>
    <row r="5016" spans="1:2">
      <c r="A5016" s="262" t="str">
        <f t="shared" si="0"/>
        <v/>
      </c>
      <c r="B5016" s="262" t="str">
        <f t="shared" si="1"/>
        <v/>
      </c>
    </row>
    <row r="5017" spans="1:2">
      <c r="A5017" s="262" t="str">
        <f t="shared" si="0"/>
        <v/>
      </c>
      <c r="B5017" s="262" t="str">
        <f t="shared" si="1"/>
        <v/>
      </c>
    </row>
    <row r="5018" spans="1:2">
      <c r="A5018" s="262" t="str">
        <f t="shared" si="0"/>
        <v/>
      </c>
      <c r="B5018" s="262" t="str">
        <f t="shared" si="1"/>
        <v/>
      </c>
    </row>
    <row r="5019" spans="1:2">
      <c r="A5019" s="262" t="str">
        <f t="shared" si="0"/>
        <v/>
      </c>
      <c r="B5019" s="262" t="str">
        <f t="shared" si="1"/>
        <v/>
      </c>
    </row>
    <row r="5020" spans="1:2">
      <c r="A5020" s="262" t="str">
        <f t="shared" si="0"/>
        <v/>
      </c>
      <c r="B5020" s="262" t="str">
        <f t="shared" si="1"/>
        <v/>
      </c>
    </row>
    <row r="5021" spans="1:2">
      <c r="A5021" s="262" t="str">
        <f t="shared" si="0"/>
        <v/>
      </c>
      <c r="B5021" s="262" t="str">
        <f t="shared" si="1"/>
        <v/>
      </c>
    </row>
    <row r="5022" spans="1:2">
      <c r="A5022" s="262" t="str">
        <f t="shared" si="0"/>
        <v/>
      </c>
      <c r="B5022" s="262" t="str">
        <f t="shared" si="1"/>
        <v/>
      </c>
    </row>
    <row r="5023" spans="1:2">
      <c r="A5023" s="262" t="str">
        <f t="shared" si="0"/>
        <v/>
      </c>
      <c r="B5023" s="262" t="str">
        <f t="shared" si="1"/>
        <v/>
      </c>
    </row>
    <row r="5024" spans="1:2">
      <c r="A5024" s="262" t="str">
        <f t="shared" si="0"/>
        <v/>
      </c>
      <c r="B5024" s="262" t="str">
        <f t="shared" si="1"/>
        <v/>
      </c>
    </row>
    <row r="5025" spans="1:2">
      <c r="A5025" s="262" t="str">
        <f t="shared" si="0"/>
        <v/>
      </c>
      <c r="B5025" s="262" t="str">
        <f t="shared" si="1"/>
        <v/>
      </c>
    </row>
    <row r="5026" spans="1:2">
      <c r="A5026" s="262" t="str">
        <f t="shared" si="0"/>
        <v/>
      </c>
      <c r="B5026" s="262" t="str">
        <f t="shared" si="1"/>
        <v/>
      </c>
    </row>
    <row r="5027" spans="1:2">
      <c r="A5027" s="262" t="str">
        <f t="shared" si="0"/>
        <v/>
      </c>
      <c r="B5027" s="262" t="str">
        <f t="shared" si="1"/>
        <v/>
      </c>
    </row>
    <row r="5028" spans="1:2">
      <c r="A5028" s="262" t="str">
        <f t="shared" si="0"/>
        <v/>
      </c>
      <c r="B5028" s="262" t="str">
        <f t="shared" si="1"/>
        <v/>
      </c>
    </row>
    <row r="5029" spans="1:2">
      <c r="A5029" s="262" t="str">
        <f t="shared" si="0"/>
        <v/>
      </c>
      <c r="B5029" s="262" t="str">
        <f t="shared" si="1"/>
        <v/>
      </c>
    </row>
    <row r="5030" spans="1:2">
      <c r="A5030" s="262" t="str">
        <f t="shared" si="0"/>
        <v/>
      </c>
      <c r="B5030" s="262" t="str">
        <f t="shared" si="1"/>
        <v/>
      </c>
    </row>
    <row r="5031" spans="1:2">
      <c r="A5031" s="262" t="str">
        <f t="shared" si="0"/>
        <v/>
      </c>
      <c r="B5031" s="262" t="str">
        <f t="shared" si="1"/>
        <v/>
      </c>
    </row>
    <row r="5032" spans="1:2">
      <c r="A5032" s="262" t="str">
        <f t="shared" si="0"/>
        <v/>
      </c>
      <c r="B5032" s="262" t="str">
        <f t="shared" si="1"/>
        <v/>
      </c>
    </row>
    <row r="5033" spans="1:2">
      <c r="A5033" s="262" t="str">
        <f t="shared" si="0"/>
        <v/>
      </c>
      <c r="B5033" s="262" t="str">
        <f t="shared" si="1"/>
        <v/>
      </c>
    </row>
    <row r="5034" spans="1:2">
      <c r="A5034" s="262" t="str">
        <f t="shared" si="0"/>
        <v/>
      </c>
      <c r="B5034" s="262" t="str">
        <f t="shared" si="1"/>
        <v/>
      </c>
    </row>
    <row r="5035" spans="1:2">
      <c r="A5035" s="262" t="str">
        <f t="shared" si="0"/>
        <v/>
      </c>
      <c r="B5035" s="262" t="str">
        <f t="shared" si="1"/>
        <v/>
      </c>
    </row>
    <row r="5036" spans="1:2">
      <c r="A5036" s="262" t="str">
        <f t="shared" si="0"/>
        <v/>
      </c>
      <c r="B5036" s="262" t="str">
        <f t="shared" si="1"/>
        <v/>
      </c>
    </row>
    <row r="5037" spans="1:2">
      <c r="A5037" s="262" t="str">
        <f t="shared" si="0"/>
        <v/>
      </c>
      <c r="B5037" s="262" t="str">
        <f t="shared" si="1"/>
        <v/>
      </c>
    </row>
    <row r="5038" spans="1:2">
      <c r="A5038" s="262" t="str">
        <f t="shared" si="0"/>
        <v/>
      </c>
      <c r="B5038" s="262" t="str">
        <f t="shared" si="1"/>
        <v/>
      </c>
    </row>
    <row r="5039" spans="1:2">
      <c r="A5039" s="262" t="str">
        <f t="shared" si="0"/>
        <v/>
      </c>
      <c r="B5039" s="262" t="str">
        <f t="shared" si="1"/>
        <v/>
      </c>
    </row>
    <row r="5040" spans="1:2">
      <c r="A5040" s="262" t="str">
        <f t="shared" si="0"/>
        <v/>
      </c>
      <c r="B5040" s="262" t="str">
        <f t="shared" si="1"/>
        <v/>
      </c>
    </row>
    <row r="5041" spans="1:2">
      <c r="A5041" s="262" t="str">
        <f t="shared" si="0"/>
        <v/>
      </c>
      <c r="B5041" s="262" t="str">
        <f t="shared" si="1"/>
        <v/>
      </c>
    </row>
    <row r="5042" spans="1:2">
      <c r="A5042" s="262" t="str">
        <f t="shared" si="0"/>
        <v/>
      </c>
      <c r="B5042" s="262" t="str">
        <f t="shared" si="1"/>
        <v/>
      </c>
    </row>
    <row r="5043" spans="1:2">
      <c r="A5043" s="262" t="str">
        <f t="shared" si="0"/>
        <v/>
      </c>
      <c r="B5043" s="262" t="str">
        <f t="shared" si="1"/>
        <v/>
      </c>
    </row>
    <row r="5044" spans="1:2">
      <c r="A5044" s="262" t="str">
        <f t="shared" si="0"/>
        <v/>
      </c>
      <c r="B5044" s="262" t="str">
        <f t="shared" si="1"/>
        <v/>
      </c>
    </row>
    <row r="5045" spans="1:2">
      <c r="A5045" s="262" t="str">
        <f t="shared" si="0"/>
        <v/>
      </c>
      <c r="B5045" s="262" t="str">
        <f t="shared" si="1"/>
        <v/>
      </c>
    </row>
    <row r="5046" spans="1:2">
      <c r="A5046" s="262" t="str">
        <f t="shared" si="0"/>
        <v/>
      </c>
      <c r="B5046" s="262" t="str">
        <f t="shared" si="1"/>
        <v/>
      </c>
    </row>
    <row r="5047" spans="1:2">
      <c r="A5047" s="262" t="str">
        <f t="shared" si="0"/>
        <v/>
      </c>
      <c r="B5047" s="262" t="str">
        <f t="shared" si="1"/>
        <v/>
      </c>
    </row>
    <row r="5048" spans="1:2">
      <c r="A5048" s="262" t="str">
        <f t="shared" si="0"/>
        <v/>
      </c>
      <c r="B5048" s="262" t="str">
        <f t="shared" si="1"/>
        <v/>
      </c>
    </row>
    <row r="5049" spans="1:2">
      <c r="A5049" s="262" t="str">
        <f t="shared" si="0"/>
        <v/>
      </c>
      <c r="B5049" s="262" t="str">
        <f t="shared" si="1"/>
        <v/>
      </c>
    </row>
    <row r="5050" spans="1:2">
      <c r="A5050" s="262" t="str">
        <f t="shared" si="0"/>
        <v/>
      </c>
      <c r="B5050" s="262" t="str">
        <f t="shared" si="1"/>
        <v/>
      </c>
    </row>
    <row r="5051" spans="1:2">
      <c r="A5051" s="262" t="str">
        <f t="shared" si="0"/>
        <v/>
      </c>
      <c r="B5051" s="262" t="str">
        <f t="shared" si="1"/>
        <v/>
      </c>
    </row>
    <row r="5052" spans="1:2">
      <c r="A5052" s="262" t="str">
        <f t="shared" si="0"/>
        <v/>
      </c>
      <c r="B5052" s="262" t="str">
        <f t="shared" si="1"/>
        <v/>
      </c>
    </row>
    <row r="5053" spans="1:2">
      <c r="A5053" s="262" t="str">
        <f t="shared" ref="A5053:A5116" si="2">HYPERLINK("http://tw.stock.yahoo.com/q/ta?s=","")</f>
        <v/>
      </c>
      <c r="B5053" s="262" t="str">
        <f t="shared" ref="B5053:B5116" si="3">HYPERLINK("http://tw.stock.yahoo.com/d/s/earning_.html","")</f>
        <v/>
      </c>
    </row>
    <row r="5054" spans="1:2">
      <c r="A5054" s="262" t="str">
        <f t="shared" si="2"/>
        <v/>
      </c>
      <c r="B5054" s="262" t="str">
        <f t="shared" si="3"/>
        <v/>
      </c>
    </row>
    <row r="5055" spans="1:2">
      <c r="A5055" s="262" t="str">
        <f t="shared" si="2"/>
        <v/>
      </c>
      <c r="B5055" s="262" t="str">
        <f t="shared" si="3"/>
        <v/>
      </c>
    </row>
    <row r="5056" spans="1:2">
      <c r="A5056" s="262" t="str">
        <f t="shared" si="2"/>
        <v/>
      </c>
      <c r="B5056" s="262" t="str">
        <f t="shared" si="3"/>
        <v/>
      </c>
    </row>
    <row r="5057" spans="1:2">
      <c r="A5057" s="262" t="str">
        <f t="shared" si="2"/>
        <v/>
      </c>
      <c r="B5057" s="262" t="str">
        <f t="shared" si="3"/>
        <v/>
      </c>
    </row>
    <row r="5058" spans="1:2">
      <c r="A5058" s="262" t="str">
        <f t="shared" si="2"/>
        <v/>
      </c>
      <c r="B5058" s="262" t="str">
        <f t="shared" si="3"/>
        <v/>
      </c>
    </row>
    <row r="5059" spans="1:2">
      <c r="A5059" s="262" t="str">
        <f t="shared" si="2"/>
        <v/>
      </c>
      <c r="B5059" s="262" t="str">
        <f t="shared" si="3"/>
        <v/>
      </c>
    </row>
    <row r="5060" spans="1:2">
      <c r="A5060" s="262" t="str">
        <f t="shared" si="2"/>
        <v/>
      </c>
      <c r="B5060" s="262" t="str">
        <f t="shared" si="3"/>
        <v/>
      </c>
    </row>
    <row r="5061" spans="1:2">
      <c r="A5061" s="262" t="str">
        <f t="shared" si="2"/>
        <v/>
      </c>
      <c r="B5061" s="262" t="str">
        <f t="shared" si="3"/>
        <v/>
      </c>
    </row>
    <row r="5062" spans="1:2">
      <c r="A5062" s="262" t="str">
        <f t="shared" si="2"/>
        <v/>
      </c>
      <c r="B5062" s="262" t="str">
        <f t="shared" si="3"/>
        <v/>
      </c>
    </row>
    <row r="5063" spans="1:2">
      <c r="A5063" s="262" t="str">
        <f t="shared" si="2"/>
        <v/>
      </c>
      <c r="B5063" s="262" t="str">
        <f t="shared" si="3"/>
        <v/>
      </c>
    </row>
    <row r="5064" spans="1:2">
      <c r="A5064" s="262" t="str">
        <f t="shared" si="2"/>
        <v/>
      </c>
      <c r="B5064" s="262" t="str">
        <f t="shared" si="3"/>
        <v/>
      </c>
    </row>
    <row r="5065" spans="1:2">
      <c r="A5065" s="262" t="str">
        <f t="shared" si="2"/>
        <v/>
      </c>
      <c r="B5065" s="262" t="str">
        <f t="shared" si="3"/>
        <v/>
      </c>
    </row>
    <row r="5066" spans="1:2">
      <c r="A5066" s="262" t="str">
        <f t="shared" si="2"/>
        <v/>
      </c>
      <c r="B5066" s="262" t="str">
        <f t="shared" si="3"/>
        <v/>
      </c>
    </row>
    <row r="5067" spans="1:2">
      <c r="A5067" s="262" t="str">
        <f t="shared" si="2"/>
        <v/>
      </c>
      <c r="B5067" s="262" t="str">
        <f t="shared" si="3"/>
        <v/>
      </c>
    </row>
    <row r="5068" spans="1:2">
      <c r="A5068" s="262" t="str">
        <f t="shared" si="2"/>
        <v/>
      </c>
      <c r="B5068" s="262" t="str">
        <f t="shared" si="3"/>
        <v/>
      </c>
    </row>
    <row r="5069" spans="1:2">
      <c r="A5069" s="262" t="str">
        <f t="shared" si="2"/>
        <v/>
      </c>
      <c r="B5069" s="262" t="str">
        <f t="shared" si="3"/>
        <v/>
      </c>
    </row>
    <row r="5070" spans="1:2">
      <c r="A5070" s="262" t="str">
        <f t="shared" si="2"/>
        <v/>
      </c>
      <c r="B5070" s="262" t="str">
        <f t="shared" si="3"/>
        <v/>
      </c>
    </row>
    <row r="5071" spans="1:2">
      <c r="A5071" s="262" t="str">
        <f t="shared" si="2"/>
        <v/>
      </c>
      <c r="B5071" s="262" t="str">
        <f t="shared" si="3"/>
        <v/>
      </c>
    </row>
    <row r="5072" spans="1:2">
      <c r="A5072" s="262" t="str">
        <f t="shared" si="2"/>
        <v/>
      </c>
      <c r="B5072" s="262" t="str">
        <f t="shared" si="3"/>
        <v/>
      </c>
    </row>
    <row r="5073" spans="1:2">
      <c r="A5073" s="262" t="str">
        <f t="shared" si="2"/>
        <v/>
      </c>
      <c r="B5073" s="262" t="str">
        <f t="shared" si="3"/>
        <v/>
      </c>
    </row>
    <row r="5074" spans="1:2">
      <c r="A5074" s="262" t="str">
        <f t="shared" si="2"/>
        <v/>
      </c>
      <c r="B5074" s="262" t="str">
        <f t="shared" si="3"/>
        <v/>
      </c>
    </row>
    <row r="5075" spans="1:2">
      <c r="A5075" s="262" t="str">
        <f t="shared" si="2"/>
        <v/>
      </c>
      <c r="B5075" s="262" t="str">
        <f t="shared" si="3"/>
        <v/>
      </c>
    </row>
    <row r="5076" spans="1:2">
      <c r="A5076" s="262" t="str">
        <f t="shared" si="2"/>
        <v/>
      </c>
      <c r="B5076" s="262" t="str">
        <f t="shared" si="3"/>
        <v/>
      </c>
    </row>
    <row r="5077" spans="1:2">
      <c r="A5077" s="262" t="str">
        <f t="shared" si="2"/>
        <v/>
      </c>
      <c r="B5077" s="262" t="str">
        <f t="shared" si="3"/>
        <v/>
      </c>
    </row>
    <row r="5078" spans="1:2">
      <c r="A5078" s="262" t="str">
        <f t="shared" si="2"/>
        <v/>
      </c>
      <c r="B5078" s="262" t="str">
        <f t="shared" si="3"/>
        <v/>
      </c>
    </row>
    <row r="5079" spans="1:2">
      <c r="A5079" s="262" t="str">
        <f t="shared" si="2"/>
        <v/>
      </c>
      <c r="B5079" s="262" t="str">
        <f t="shared" si="3"/>
        <v/>
      </c>
    </row>
    <row r="5080" spans="1:2">
      <c r="A5080" s="262" t="str">
        <f t="shared" si="2"/>
        <v/>
      </c>
      <c r="B5080" s="262" t="str">
        <f t="shared" si="3"/>
        <v/>
      </c>
    </row>
    <row r="5081" spans="1:2">
      <c r="A5081" s="262" t="str">
        <f t="shared" si="2"/>
        <v/>
      </c>
      <c r="B5081" s="262" t="str">
        <f t="shared" si="3"/>
        <v/>
      </c>
    </row>
    <row r="5082" spans="1:2">
      <c r="A5082" s="262" t="str">
        <f t="shared" si="2"/>
        <v/>
      </c>
      <c r="B5082" s="262" t="str">
        <f t="shared" si="3"/>
        <v/>
      </c>
    </row>
    <row r="5083" spans="1:2">
      <c r="A5083" s="262" t="str">
        <f t="shared" si="2"/>
        <v/>
      </c>
      <c r="B5083" s="262" t="str">
        <f t="shared" si="3"/>
        <v/>
      </c>
    </row>
    <row r="5084" spans="1:2">
      <c r="A5084" s="262" t="str">
        <f t="shared" si="2"/>
        <v/>
      </c>
      <c r="B5084" s="262" t="str">
        <f t="shared" si="3"/>
        <v/>
      </c>
    </row>
    <row r="5085" spans="1:2">
      <c r="A5085" s="262" t="str">
        <f t="shared" si="2"/>
        <v/>
      </c>
      <c r="B5085" s="262" t="str">
        <f t="shared" si="3"/>
        <v/>
      </c>
    </row>
    <row r="5086" spans="1:2">
      <c r="A5086" s="262" t="str">
        <f t="shared" si="2"/>
        <v/>
      </c>
      <c r="B5086" s="262" t="str">
        <f t="shared" si="3"/>
        <v/>
      </c>
    </row>
    <row r="5087" spans="1:2">
      <c r="A5087" s="262" t="str">
        <f t="shared" si="2"/>
        <v/>
      </c>
      <c r="B5087" s="262" t="str">
        <f t="shared" si="3"/>
        <v/>
      </c>
    </row>
    <row r="5088" spans="1:2">
      <c r="A5088" s="262" t="str">
        <f t="shared" si="2"/>
        <v/>
      </c>
      <c r="B5088" s="262" t="str">
        <f t="shared" si="3"/>
        <v/>
      </c>
    </row>
    <row r="5089" spans="1:2">
      <c r="A5089" s="262" t="str">
        <f t="shared" si="2"/>
        <v/>
      </c>
      <c r="B5089" s="262" t="str">
        <f t="shared" si="3"/>
        <v/>
      </c>
    </row>
    <row r="5090" spans="1:2">
      <c r="A5090" s="262" t="str">
        <f t="shared" si="2"/>
        <v/>
      </c>
      <c r="B5090" s="262" t="str">
        <f t="shared" si="3"/>
        <v/>
      </c>
    </row>
    <row r="5091" spans="1:2">
      <c r="A5091" s="262" t="str">
        <f t="shared" si="2"/>
        <v/>
      </c>
      <c r="B5091" s="262" t="str">
        <f t="shared" si="3"/>
        <v/>
      </c>
    </row>
    <row r="5092" spans="1:2">
      <c r="A5092" s="262" t="str">
        <f t="shared" si="2"/>
        <v/>
      </c>
      <c r="B5092" s="262" t="str">
        <f t="shared" si="3"/>
        <v/>
      </c>
    </row>
    <row r="5093" spans="1:2">
      <c r="A5093" s="262" t="str">
        <f t="shared" si="2"/>
        <v/>
      </c>
      <c r="B5093" s="262" t="str">
        <f t="shared" si="3"/>
        <v/>
      </c>
    </row>
    <row r="5094" spans="1:2">
      <c r="A5094" s="262" t="str">
        <f t="shared" si="2"/>
        <v/>
      </c>
      <c r="B5094" s="262" t="str">
        <f t="shared" si="3"/>
        <v/>
      </c>
    </row>
    <row r="5095" spans="1:2">
      <c r="A5095" s="262" t="str">
        <f t="shared" si="2"/>
        <v/>
      </c>
      <c r="B5095" s="262" t="str">
        <f t="shared" si="3"/>
        <v/>
      </c>
    </row>
    <row r="5096" spans="1:2">
      <c r="A5096" s="262" t="str">
        <f t="shared" si="2"/>
        <v/>
      </c>
      <c r="B5096" s="262" t="str">
        <f t="shared" si="3"/>
        <v/>
      </c>
    </row>
    <row r="5097" spans="1:2">
      <c r="A5097" s="262" t="str">
        <f t="shared" si="2"/>
        <v/>
      </c>
      <c r="B5097" s="262" t="str">
        <f t="shared" si="3"/>
        <v/>
      </c>
    </row>
    <row r="5098" spans="1:2">
      <c r="A5098" s="262" t="str">
        <f t="shared" si="2"/>
        <v/>
      </c>
      <c r="B5098" s="262" t="str">
        <f t="shared" si="3"/>
        <v/>
      </c>
    </row>
    <row r="5099" spans="1:2">
      <c r="A5099" s="262" t="str">
        <f t="shared" si="2"/>
        <v/>
      </c>
      <c r="B5099" s="262" t="str">
        <f t="shared" si="3"/>
        <v/>
      </c>
    </row>
    <row r="5100" spans="1:2">
      <c r="A5100" s="262" t="str">
        <f t="shared" si="2"/>
        <v/>
      </c>
      <c r="B5100" s="262" t="str">
        <f t="shared" si="3"/>
        <v/>
      </c>
    </row>
    <row r="5101" spans="1:2">
      <c r="A5101" s="262" t="str">
        <f t="shared" si="2"/>
        <v/>
      </c>
      <c r="B5101" s="262" t="str">
        <f t="shared" si="3"/>
        <v/>
      </c>
    </row>
    <row r="5102" spans="1:2">
      <c r="A5102" s="262" t="str">
        <f t="shared" si="2"/>
        <v/>
      </c>
      <c r="B5102" s="262" t="str">
        <f t="shared" si="3"/>
        <v/>
      </c>
    </row>
    <row r="5103" spans="1:2">
      <c r="A5103" s="262" t="str">
        <f t="shared" si="2"/>
        <v/>
      </c>
      <c r="B5103" s="262" t="str">
        <f t="shared" si="3"/>
        <v/>
      </c>
    </row>
    <row r="5104" spans="1:2">
      <c r="A5104" s="262" t="str">
        <f t="shared" si="2"/>
        <v/>
      </c>
      <c r="B5104" s="262" t="str">
        <f t="shared" si="3"/>
        <v/>
      </c>
    </row>
    <row r="5105" spans="1:2">
      <c r="A5105" s="262" t="str">
        <f t="shared" si="2"/>
        <v/>
      </c>
      <c r="B5105" s="262" t="str">
        <f t="shared" si="3"/>
        <v/>
      </c>
    </row>
    <row r="5106" spans="1:2">
      <c r="A5106" s="262" t="str">
        <f t="shared" si="2"/>
        <v/>
      </c>
      <c r="B5106" s="262" t="str">
        <f t="shared" si="3"/>
        <v/>
      </c>
    </row>
    <row r="5107" spans="1:2">
      <c r="A5107" s="262" t="str">
        <f t="shared" si="2"/>
        <v/>
      </c>
      <c r="B5107" s="262" t="str">
        <f t="shared" si="3"/>
        <v/>
      </c>
    </row>
    <row r="5108" spans="1:2">
      <c r="A5108" s="262" t="str">
        <f t="shared" si="2"/>
        <v/>
      </c>
      <c r="B5108" s="262" t="str">
        <f t="shared" si="3"/>
        <v/>
      </c>
    </row>
    <row r="5109" spans="1:2">
      <c r="A5109" s="262" t="str">
        <f t="shared" si="2"/>
        <v/>
      </c>
      <c r="B5109" s="262" t="str">
        <f t="shared" si="3"/>
        <v/>
      </c>
    </row>
    <row r="5110" spans="1:2">
      <c r="A5110" s="262" t="str">
        <f t="shared" si="2"/>
        <v/>
      </c>
      <c r="B5110" s="262" t="str">
        <f t="shared" si="3"/>
        <v/>
      </c>
    </row>
    <row r="5111" spans="1:2">
      <c r="A5111" s="262" t="str">
        <f t="shared" si="2"/>
        <v/>
      </c>
      <c r="B5111" s="262" t="str">
        <f t="shared" si="3"/>
        <v/>
      </c>
    </row>
    <row r="5112" spans="1:2">
      <c r="A5112" s="262" t="str">
        <f t="shared" si="2"/>
        <v/>
      </c>
      <c r="B5112" s="262" t="str">
        <f t="shared" si="3"/>
        <v/>
      </c>
    </row>
    <row r="5113" spans="1:2">
      <c r="A5113" s="262" t="str">
        <f t="shared" si="2"/>
        <v/>
      </c>
      <c r="B5113" s="262" t="str">
        <f t="shared" si="3"/>
        <v/>
      </c>
    </row>
    <row r="5114" spans="1:2">
      <c r="A5114" s="262" t="str">
        <f t="shared" si="2"/>
        <v/>
      </c>
      <c r="B5114" s="262" t="str">
        <f t="shared" si="3"/>
        <v/>
      </c>
    </row>
    <row r="5115" spans="1:2">
      <c r="A5115" s="262" t="str">
        <f t="shared" si="2"/>
        <v/>
      </c>
      <c r="B5115" s="262" t="str">
        <f t="shared" si="3"/>
        <v/>
      </c>
    </row>
    <row r="5116" spans="1:2">
      <c r="A5116" s="262" t="str">
        <f t="shared" si="2"/>
        <v/>
      </c>
      <c r="B5116" s="262" t="str">
        <f t="shared" si="3"/>
        <v/>
      </c>
    </row>
    <row r="5117" spans="1:2">
      <c r="A5117" s="262" t="str">
        <f t="shared" ref="A5117:A5180" si="4">HYPERLINK("http://tw.stock.yahoo.com/q/ta?s=","")</f>
        <v/>
      </c>
      <c r="B5117" s="262" t="str">
        <f t="shared" ref="B5117:B5180" si="5">HYPERLINK("http://tw.stock.yahoo.com/d/s/earning_.html","")</f>
        <v/>
      </c>
    </row>
    <row r="5118" spans="1:2">
      <c r="A5118" s="262" t="str">
        <f t="shared" si="4"/>
        <v/>
      </c>
      <c r="B5118" s="262" t="str">
        <f t="shared" si="5"/>
        <v/>
      </c>
    </row>
    <row r="5119" spans="1:2">
      <c r="A5119" s="262" t="str">
        <f t="shared" si="4"/>
        <v/>
      </c>
      <c r="B5119" s="262" t="str">
        <f t="shared" si="5"/>
        <v/>
      </c>
    </row>
    <row r="5120" spans="1:2">
      <c r="A5120" s="262" t="str">
        <f t="shared" si="4"/>
        <v/>
      </c>
      <c r="B5120" s="262" t="str">
        <f t="shared" si="5"/>
        <v/>
      </c>
    </row>
    <row r="5121" spans="1:2">
      <c r="A5121" s="262" t="str">
        <f t="shared" si="4"/>
        <v/>
      </c>
      <c r="B5121" s="262" t="str">
        <f t="shared" si="5"/>
        <v/>
      </c>
    </row>
    <row r="5122" spans="1:2">
      <c r="A5122" s="262" t="str">
        <f t="shared" si="4"/>
        <v/>
      </c>
      <c r="B5122" s="262" t="str">
        <f t="shared" si="5"/>
        <v/>
      </c>
    </row>
    <row r="5123" spans="1:2">
      <c r="A5123" s="262" t="str">
        <f t="shared" si="4"/>
        <v/>
      </c>
      <c r="B5123" s="262" t="str">
        <f t="shared" si="5"/>
        <v/>
      </c>
    </row>
    <row r="5124" spans="1:2">
      <c r="A5124" s="262" t="str">
        <f t="shared" si="4"/>
        <v/>
      </c>
      <c r="B5124" s="262" t="str">
        <f t="shared" si="5"/>
        <v/>
      </c>
    </row>
    <row r="5125" spans="1:2">
      <c r="A5125" s="262" t="str">
        <f t="shared" si="4"/>
        <v/>
      </c>
      <c r="B5125" s="262" t="str">
        <f t="shared" si="5"/>
        <v/>
      </c>
    </row>
    <row r="5126" spans="1:2">
      <c r="A5126" s="262" t="str">
        <f t="shared" si="4"/>
        <v/>
      </c>
      <c r="B5126" s="262" t="str">
        <f t="shared" si="5"/>
        <v/>
      </c>
    </row>
    <row r="5127" spans="1:2">
      <c r="A5127" s="262" t="str">
        <f t="shared" si="4"/>
        <v/>
      </c>
      <c r="B5127" s="262" t="str">
        <f t="shared" si="5"/>
        <v/>
      </c>
    </row>
    <row r="5128" spans="1:2">
      <c r="A5128" s="262" t="str">
        <f t="shared" si="4"/>
        <v/>
      </c>
      <c r="B5128" s="262" t="str">
        <f t="shared" si="5"/>
        <v/>
      </c>
    </row>
    <row r="5129" spans="1:2">
      <c r="A5129" s="262" t="str">
        <f t="shared" si="4"/>
        <v/>
      </c>
      <c r="B5129" s="262" t="str">
        <f t="shared" si="5"/>
        <v/>
      </c>
    </row>
    <row r="5130" spans="1:2">
      <c r="A5130" s="262" t="str">
        <f t="shared" si="4"/>
        <v/>
      </c>
      <c r="B5130" s="262" t="str">
        <f t="shared" si="5"/>
        <v/>
      </c>
    </row>
    <row r="5131" spans="1:2">
      <c r="A5131" s="262" t="str">
        <f t="shared" si="4"/>
        <v/>
      </c>
      <c r="B5131" s="262" t="str">
        <f t="shared" si="5"/>
        <v/>
      </c>
    </row>
    <row r="5132" spans="1:2">
      <c r="A5132" s="262" t="str">
        <f t="shared" si="4"/>
        <v/>
      </c>
      <c r="B5132" s="262" t="str">
        <f t="shared" si="5"/>
        <v/>
      </c>
    </row>
    <row r="5133" spans="1:2">
      <c r="A5133" s="262" t="str">
        <f t="shared" si="4"/>
        <v/>
      </c>
      <c r="B5133" s="262" t="str">
        <f t="shared" si="5"/>
        <v/>
      </c>
    </row>
    <row r="5134" spans="1:2">
      <c r="A5134" s="262" t="str">
        <f t="shared" si="4"/>
        <v/>
      </c>
      <c r="B5134" s="262" t="str">
        <f t="shared" si="5"/>
        <v/>
      </c>
    </row>
    <row r="5135" spans="1:2">
      <c r="A5135" s="262" t="str">
        <f t="shared" si="4"/>
        <v/>
      </c>
      <c r="B5135" s="262" t="str">
        <f t="shared" si="5"/>
        <v/>
      </c>
    </row>
    <row r="5136" spans="1:2">
      <c r="A5136" s="262" t="str">
        <f t="shared" si="4"/>
        <v/>
      </c>
      <c r="B5136" s="262" t="str">
        <f t="shared" si="5"/>
        <v/>
      </c>
    </row>
    <row r="5137" spans="1:2">
      <c r="A5137" s="262" t="str">
        <f t="shared" si="4"/>
        <v/>
      </c>
      <c r="B5137" s="262" t="str">
        <f t="shared" si="5"/>
        <v/>
      </c>
    </row>
    <row r="5138" spans="1:2">
      <c r="A5138" s="262" t="str">
        <f t="shared" si="4"/>
        <v/>
      </c>
      <c r="B5138" s="262" t="str">
        <f t="shared" si="5"/>
        <v/>
      </c>
    </row>
    <row r="5139" spans="1:2">
      <c r="A5139" s="262" t="str">
        <f t="shared" si="4"/>
        <v/>
      </c>
      <c r="B5139" s="262" t="str">
        <f t="shared" si="5"/>
        <v/>
      </c>
    </row>
    <row r="5140" spans="1:2">
      <c r="A5140" s="262" t="str">
        <f t="shared" si="4"/>
        <v/>
      </c>
      <c r="B5140" s="262" t="str">
        <f t="shared" si="5"/>
        <v/>
      </c>
    </row>
    <row r="5141" spans="1:2">
      <c r="A5141" s="262" t="str">
        <f t="shared" si="4"/>
        <v/>
      </c>
      <c r="B5141" s="262" t="str">
        <f t="shared" si="5"/>
        <v/>
      </c>
    </row>
    <row r="5142" spans="1:2">
      <c r="A5142" s="262" t="str">
        <f t="shared" si="4"/>
        <v/>
      </c>
      <c r="B5142" s="262" t="str">
        <f t="shared" si="5"/>
        <v/>
      </c>
    </row>
    <row r="5143" spans="1:2">
      <c r="A5143" s="262" t="str">
        <f t="shared" si="4"/>
        <v/>
      </c>
      <c r="B5143" s="262" t="str">
        <f t="shared" si="5"/>
        <v/>
      </c>
    </row>
    <row r="5144" spans="1:2">
      <c r="A5144" s="262" t="str">
        <f t="shared" si="4"/>
        <v/>
      </c>
      <c r="B5144" s="262" t="str">
        <f t="shared" si="5"/>
        <v/>
      </c>
    </row>
    <row r="5145" spans="1:2">
      <c r="A5145" s="262" t="str">
        <f t="shared" si="4"/>
        <v/>
      </c>
      <c r="B5145" s="262" t="str">
        <f t="shared" si="5"/>
        <v/>
      </c>
    </row>
    <row r="5146" spans="1:2">
      <c r="A5146" s="262" t="str">
        <f t="shared" si="4"/>
        <v/>
      </c>
      <c r="B5146" s="262" t="str">
        <f t="shared" si="5"/>
        <v/>
      </c>
    </row>
    <row r="5147" spans="1:2">
      <c r="A5147" s="262" t="str">
        <f t="shared" si="4"/>
        <v/>
      </c>
      <c r="B5147" s="262" t="str">
        <f t="shared" si="5"/>
        <v/>
      </c>
    </row>
    <row r="5148" spans="1:2">
      <c r="A5148" s="262" t="str">
        <f t="shared" si="4"/>
        <v/>
      </c>
      <c r="B5148" s="262" t="str">
        <f t="shared" si="5"/>
        <v/>
      </c>
    </row>
    <row r="5149" spans="1:2">
      <c r="A5149" s="262" t="str">
        <f t="shared" si="4"/>
        <v/>
      </c>
      <c r="B5149" s="262" t="str">
        <f t="shared" si="5"/>
        <v/>
      </c>
    </row>
    <row r="5150" spans="1:2">
      <c r="A5150" s="262" t="str">
        <f t="shared" si="4"/>
        <v/>
      </c>
      <c r="B5150" s="262" t="str">
        <f t="shared" si="5"/>
        <v/>
      </c>
    </row>
    <row r="5151" spans="1:2">
      <c r="A5151" s="262" t="str">
        <f t="shared" si="4"/>
        <v/>
      </c>
      <c r="B5151" s="262" t="str">
        <f t="shared" si="5"/>
        <v/>
      </c>
    </row>
    <row r="5152" spans="1:2">
      <c r="A5152" s="262" t="str">
        <f t="shared" si="4"/>
        <v/>
      </c>
      <c r="B5152" s="262" t="str">
        <f t="shared" si="5"/>
        <v/>
      </c>
    </row>
    <row r="5153" spans="1:2">
      <c r="A5153" s="262" t="str">
        <f t="shared" si="4"/>
        <v/>
      </c>
      <c r="B5153" s="262" t="str">
        <f t="shared" si="5"/>
        <v/>
      </c>
    </row>
    <row r="5154" spans="1:2">
      <c r="A5154" s="262" t="str">
        <f t="shared" si="4"/>
        <v/>
      </c>
      <c r="B5154" s="262" t="str">
        <f t="shared" si="5"/>
        <v/>
      </c>
    </row>
    <row r="5155" spans="1:2">
      <c r="A5155" s="262" t="str">
        <f t="shared" si="4"/>
        <v/>
      </c>
      <c r="B5155" s="262" t="str">
        <f t="shared" si="5"/>
        <v/>
      </c>
    </row>
    <row r="5156" spans="1:2">
      <c r="A5156" s="262" t="str">
        <f t="shared" si="4"/>
        <v/>
      </c>
      <c r="B5156" s="262" t="str">
        <f t="shared" si="5"/>
        <v/>
      </c>
    </row>
    <row r="5157" spans="1:2">
      <c r="A5157" s="262" t="str">
        <f t="shared" si="4"/>
        <v/>
      </c>
      <c r="B5157" s="262" t="str">
        <f t="shared" si="5"/>
        <v/>
      </c>
    </row>
    <row r="5158" spans="1:2">
      <c r="A5158" s="262" t="str">
        <f t="shared" si="4"/>
        <v/>
      </c>
      <c r="B5158" s="262" t="str">
        <f t="shared" si="5"/>
        <v/>
      </c>
    </row>
    <row r="5159" spans="1:2">
      <c r="A5159" s="262" t="str">
        <f t="shared" si="4"/>
        <v/>
      </c>
      <c r="B5159" s="262" t="str">
        <f t="shared" si="5"/>
        <v/>
      </c>
    </row>
    <row r="5160" spans="1:2">
      <c r="A5160" s="262" t="str">
        <f t="shared" si="4"/>
        <v/>
      </c>
      <c r="B5160" s="262" t="str">
        <f t="shared" si="5"/>
        <v/>
      </c>
    </row>
    <row r="5161" spans="1:2">
      <c r="A5161" s="262" t="str">
        <f t="shared" si="4"/>
        <v/>
      </c>
      <c r="B5161" s="262" t="str">
        <f t="shared" si="5"/>
        <v/>
      </c>
    </row>
    <row r="5162" spans="1:2">
      <c r="A5162" s="262" t="str">
        <f t="shared" si="4"/>
        <v/>
      </c>
      <c r="B5162" s="262" t="str">
        <f t="shared" si="5"/>
        <v/>
      </c>
    </row>
    <row r="5163" spans="1:2">
      <c r="A5163" s="262" t="str">
        <f t="shared" si="4"/>
        <v/>
      </c>
      <c r="B5163" s="262" t="str">
        <f t="shared" si="5"/>
        <v/>
      </c>
    </row>
    <row r="5164" spans="1:2">
      <c r="A5164" s="262" t="str">
        <f t="shared" si="4"/>
        <v/>
      </c>
      <c r="B5164" s="262" t="str">
        <f t="shared" si="5"/>
        <v/>
      </c>
    </row>
    <row r="5165" spans="1:2">
      <c r="A5165" s="262" t="str">
        <f t="shared" si="4"/>
        <v/>
      </c>
      <c r="B5165" s="262" t="str">
        <f t="shared" si="5"/>
        <v/>
      </c>
    </row>
    <row r="5166" spans="1:2">
      <c r="A5166" s="262" t="str">
        <f t="shared" si="4"/>
        <v/>
      </c>
      <c r="B5166" s="262" t="str">
        <f t="shared" si="5"/>
        <v/>
      </c>
    </row>
    <row r="5167" spans="1:2">
      <c r="A5167" s="262" t="str">
        <f t="shared" si="4"/>
        <v/>
      </c>
      <c r="B5167" s="262" t="str">
        <f t="shared" si="5"/>
        <v/>
      </c>
    </row>
    <row r="5168" spans="1:2">
      <c r="A5168" s="262" t="str">
        <f t="shared" si="4"/>
        <v/>
      </c>
      <c r="B5168" s="262" t="str">
        <f t="shared" si="5"/>
        <v/>
      </c>
    </row>
    <row r="5169" spans="1:2">
      <c r="A5169" s="262" t="str">
        <f t="shared" si="4"/>
        <v/>
      </c>
      <c r="B5169" s="262" t="str">
        <f t="shared" si="5"/>
        <v/>
      </c>
    </row>
    <row r="5170" spans="1:2">
      <c r="A5170" s="262" t="str">
        <f t="shared" si="4"/>
        <v/>
      </c>
      <c r="B5170" s="262" t="str">
        <f t="shared" si="5"/>
        <v/>
      </c>
    </row>
    <row r="5171" spans="1:2">
      <c r="A5171" s="262" t="str">
        <f t="shared" si="4"/>
        <v/>
      </c>
      <c r="B5171" s="262" t="str">
        <f t="shared" si="5"/>
        <v/>
      </c>
    </row>
    <row r="5172" spans="1:2">
      <c r="A5172" s="262" t="str">
        <f t="shared" si="4"/>
        <v/>
      </c>
      <c r="B5172" s="262" t="str">
        <f t="shared" si="5"/>
        <v/>
      </c>
    </row>
    <row r="5173" spans="1:2">
      <c r="A5173" s="262" t="str">
        <f t="shared" si="4"/>
        <v/>
      </c>
      <c r="B5173" s="262" t="str">
        <f t="shared" si="5"/>
        <v/>
      </c>
    </row>
    <row r="5174" spans="1:2">
      <c r="A5174" s="262" t="str">
        <f t="shared" si="4"/>
        <v/>
      </c>
      <c r="B5174" s="262" t="str">
        <f t="shared" si="5"/>
        <v/>
      </c>
    </row>
    <row r="5175" spans="1:2">
      <c r="A5175" s="262" t="str">
        <f t="shared" si="4"/>
        <v/>
      </c>
      <c r="B5175" s="262" t="str">
        <f t="shared" si="5"/>
        <v/>
      </c>
    </row>
    <row r="5176" spans="1:2">
      <c r="A5176" s="262" t="str">
        <f t="shared" si="4"/>
        <v/>
      </c>
      <c r="B5176" s="262" t="str">
        <f t="shared" si="5"/>
        <v/>
      </c>
    </row>
    <row r="5177" spans="1:2">
      <c r="A5177" s="262" t="str">
        <f t="shared" si="4"/>
        <v/>
      </c>
      <c r="B5177" s="262" t="str">
        <f t="shared" si="5"/>
        <v/>
      </c>
    </row>
    <row r="5178" spans="1:2">
      <c r="A5178" s="262" t="str">
        <f t="shared" si="4"/>
        <v/>
      </c>
      <c r="B5178" s="262" t="str">
        <f t="shared" si="5"/>
        <v/>
      </c>
    </row>
    <row r="5179" spans="1:2">
      <c r="A5179" s="262" t="str">
        <f t="shared" si="4"/>
        <v/>
      </c>
      <c r="B5179" s="262" t="str">
        <f t="shared" si="5"/>
        <v/>
      </c>
    </row>
    <row r="5180" spans="1:2">
      <c r="A5180" s="262" t="str">
        <f t="shared" si="4"/>
        <v/>
      </c>
      <c r="B5180" s="262" t="str">
        <f t="shared" si="5"/>
        <v/>
      </c>
    </row>
    <row r="5181" spans="1:2">
      <c r="A5181" s="262" t="str">
        <f t="shared" ref="A5181:A5244" si="6">HYPERLINK("http://tw.stock.yahoo.com/q/ta?s=","")</f>
        <v/>
      </c>
      <c r="B5181" s="262" t="str">
        <f t="shared" ref="B5181:B5244" si="7">HYPERLINK("http://tw.stock.yahoo.com/d/s/earning_.html","")</f>
        <v/>
      </c>
    </row>
    <row r="5182" spans="1:2">
      <c r="A5182" s="262" t="str">
        <f t="shared" si="6"/>
        <v/>
      </c>
      <c r="B5182" s="262" t="str">
        <f t="shared" si="7"/>
        <v/>
      </c>
    </row>
    <row r="5183" spans="1:2">
      <c r="A5183" s="262" t="str">
        <f t="shared" si="6"/>
        <v/>
      </c>
      <c r="B5183" s="262" t="str">
        <f t="shared" si="7"/>
        <v/>
      </c>
    </row>
    <row r="5184" spans="1:2">
      <c r="A5184" s="262" t="str">
        <f t="shared" si="6"/>
        <v/>
      </c>
      <c r="B5184" s="262" t="str">
        <f t="shared" si="7"/>
        <v/>
      </c>
    </row>
    <row r="5185" spans="1:2">
      <c r="A5185" s="262" t="str">
        <f t="shared" si="6"/>
        <v/>
      </c>
      <c r="B5185" s="262" t="str">
        <f t="shared" si="7"/>
        <v/>
      </c>
    </row>
    <row r="5186" spans="1:2">
      <c r="A5186" s="262" t="str">
        <f t="shared" si="6"/>
        <v/>
      </c>
      <c r="B5186" s="262" t="str">
        <f t="shared" si="7"/>
        <v/>
      </c>
    </row>
    <row r="5187" spans="1:2">
      <c r="A5187" s="262" t="str">
        <f t="shared" si="6"/>
        <v/>
      </c>
      <c r="B5187" s="262" t="str">
        <f t="shared" si="7"/>
        <v/>
      </c>
    </row>
    <row r="5188" spans="1:2">
      <c r="A5188" s="262" t="str">
        <f t="shared" si="6"/>
        <v/>
      </c>
      <c r="B5188" s="262" t="str">
        <f t="shared" si="7"/>
        <v/>
      </c>
    </row>
    <row r="5189" spans="1:2">
      <c r="A5189" s="262" t="str">
        <f t="shared" si="6"/>
        <v/>
      </c>
      <c r="B5189" s="262" t="str">
        <f t="shared" si="7"/>
        <v/>
      </c>
    </row>
    <row r="5190" spans="1:2">
      <c r="A5190" s="262" t="str">
        <f t="shared" si="6"/>
        <v/>
      </c>
      <c r="B5190" s="262" t="str">
        <f t="shared" si="7"/>
        <v/>
      </c>
    </row>
    <row r="5191" spans="1:2">
      <c r="A5191" s="262" t="str">
        <f t="shared" si="6"/>
        <v/>
      </c>
      <c r="B5191" s="262" t="str">
        <f t="shared" si="7"/>
        <v/>
      </c>
    </row>
    <row r="5192" spans="1:2">
      <c r="A5192" s="262" t="str">
        <f t="shared" si="6"/>
        <v/>
      </c>
      <c r="B5192" s="262" t="str">
        <f t="shared" si="7"/>
        <v/>
      </c>
    </row>
    <row r="5193" spans="1:2">
      <c r="A5193" s="262" t="str">
        <f t="shared" si="6"/>
        <v/>
      </c>
      <c r="B5193" s="262" t="str">
        <f t="shared" si="7"/>
        <v/>
      </c>
    </row>
    <row r="5194" spans="1:2">
      <c r="A5194" s="262" t="str">
        <f t="shared" si="6"/>
        <v/>
      </c>
      <c r="B5194" s="262" t="str">
        <f t="shared" si="7"/>
        <v/>
      </c>
    </row>
    <row r="5195" spans="1:2">
      <c r="A5195" s="262" t="str">
        <f t="shared" si="6"/>
        <v/>
      </c>
      <c r="B5195" s="262" t="str">
        <f t="shared" si="7"/>
        <v/>
      </c>
    </row>
    <row r="5196" spans="1:2">
      <c r="A5196" s="262" t="str">
        <f t="shared" si="6"/>
        <v/>
      </c>
      <c r="B5196" s="262" t="str">
        <f t="shared" si="7"/>
        <v/>
      </c>
    </row>
    <row r="5197" spans="1:2">
      <c r="A5197" s="262" t="str">
        <f t="shared" si="6"/>
        <v/>
      </c>
      <c r="B5197" s="262" t="str">
        <f t="shared" si="7"/>
        <v/>
      </c>
    </row>
    <row r="5198" spans="1:2">
      <c r="A5198" s="262" t="str">
        <f t="shared" si="6"/>
        <v/>
      </c>
      <c r="B5198" s="262" t="str">
        <f t="shared" si="7"/>
        <v/>
      </c>
    </row>
    <row r="5199" spans="1:2">
      <c r="A5199" s="262" t="str">
        <f t="shared" si="6"/>
        <v/>
      </c>
      <c r="B5199" s="262" t="str">
        <f t="shared" si="7"/>
        <v/>
      </c>
    </row>
    <row r="5200" spans="1:2">
      <c r="A5200" s="262" t="str">
        <f t="shared" si="6"/>
        <v/>
      </c>
      <c r="B5200" s="262" t="str">
        <f t="shared" si="7"/>
        <v/>
      </c>
    </row>
    <row r="5201" spans="1:2">
      <c r="A5201" s="262" t="str">
        <f t="shared" si="6"/>
        <v/>
      </c>
      <c r="B5201" s="262" t="str">
        <f t="shared" si="7"/>
        <v/>
      </c>
    </row>
    <row r="5202" spans="1:2">
      <c r="A5202" s="262" t="str">
        <f t="shared" si="6"/>
        <v/>
      </c>
      <c r="B5202" s="262" t="str">
        <f t="shared" si="7"/>
        <v/>
      </c>
    </row>
    <row r="5203" spans="1:2">
      <c r="A5203" s="262" t="str">
        <f t="shared" si="6"/>
        <v/>
      </c>
      <c r="B5203" s="262" t="str">
        <f t="shared" si="7"/>
        <v/>
      </c>
    </row>
    <row r="5204" spans="1:2">
      <c r="A5204" s="262" t="str">
        <f t="shared" si="6"/>
        <v/>
      </c>
      <c r="B5204" s="262" t="str">
        <f t="shared" si="7"/>
        <v/>
      </c>
    </row>
    <row r="5205" spans="1:2">
      <c r="A5205" s="262" t="str">
        <f t="shared" si="6"/>
        <v/>
      </c>
      <c r="B5205" s="262" t="str">
        <f t="shared" si="7"/>
        <v/>
      </c>
    </row>
    <row r="5206" spans="1:2">
      <c r="A5206" s="262" t="str">
        <f t="shared" si="6"/>
        <v/>
      </c>
      <c r="B5206" s="262" t="str">
        <f t="shared" si="7"/>
        <v/>
      </c>
    </row>
    <row r="5207" spans="1:2">
      <c r="A5207" s="262" t="str">
        <f t="shared" si="6"/>
        <v/>
      </c>
      <c r="B5207" s="262" t="str">
        <f t="shared" si="7"/>
        <v/>
      </c>
    </row>
    <row r="5208" spans="1:2">
      <c r="A5208" s="262" t="str">
        <f t="shared" si="6"/>
        <v/>
      </c>
      <c r="B5208" s="262" t="str">
        <f t="shared" si="7"/>
        <v/>
      </c>
    </row>
    <row r="5209" spans="1:2">
      <c r="A5209" s="262" t="str">
        <f t="shared" si="6"/>
        <v/>
      </c>
      <c r="B5209" s="262" t="str">
        <f t="shared" si="7"/>
        <v/>
      </c>
    </row>
    <row r="5210" spans="1:2">
      <c r="A5210" s="262" t="str">
        <f t="shared" si="6"/>
        <v/>
      </c>
      <c r="B5210" s="262" t="str">
        <f t="shared" si="7"/>
        <v/>
      </c>
    </row>
    <row r="5211" spans="1:2">
      <c r="A5211" s="262" t="str">
        <f t="shared" si="6"/>
        <v/>
      </c>
      <c r="B5211" s="262" t="str">
        <f t="shared" si="7"/>
        <v/>
      </c>
    </row>
    <row r="5212" spans="1:2">
      <c r="A5212" s="262" t="str">
        <f t="shared" si="6"/>
        <v/>
      </c>
      <c r="B5212" s="262" t="str">
        <f t="shared" si="7"/>
        <v/>
      </c>
    </row>
    <row r="5213" spans="1:2">
      <c r="A5213" s="262" t="str">
        <f t="shared" si="6"/>
        <v/>
      </c>
      <c r="B5213" s="262" t="str">
        <f t="shared" si="7"/>
        <v/>
      </c>
    </row>
    <row r="5214" spans="1:2">
      <c r="A5214" s="262" t="str">
        <f t="shared" si="6"/>
        <v/>
      </c>
      <c r="B5214" s="262" t="str">
        <f t="shared" si="7"/>
        <v/>
      </c>
    </row>
    <row r="5215" spans="1:2">
      <c r="A5215" s="262" t="str">
        <f t="shared" si="6"/>
        <v/>
      </c>
      <c r="B5215" s="262" t="str">
        <f t="shared" si="7"/>
        <v/>
      </c>
    </row>
    <row r="5216" spans="1:2">
      <c r="A5216" s="262" t="str">
        <f t="shared" si="6"/>
        <v/>
      </c>
      <c r="B5216" s="262" t="str">
        <f t="shared" si="7"/>
        <v/>
      </c>
    </row>
    <row r="5217" spans="1:2">
      <c r="A5217" s="262" t="str">
        <f t="shared" si="6"/>
        <v/>
      </c>
      <c r="B5217" s="262" t="str">
        <f t="shared" si="7"/>
        <v/>
      </c>
    </row>
    <row r="5218" spans="1:2">
      <c r="A5218" s="262" t="str">
        <f t="shared" si="6"/>
        <v/>
      </c>
      <c r="B5218" s="262" t="str">
        <f t="shared" si="7"/>
        <v/>
      </c>
    </row>
    <row r="5219" spans="1:2">
      <c r="A5219" s="262" t="str">
        <f t="shared" si="6"/>
        <v/>
      </c>
      <c r="B5219" s="262" t="str">
        <f t="shared" si="7"/>
        <v/>
      </c>
    </row>
    <row r="5220" spans="1:2">
      <c r="A5220" s="262" t="str">
        <f t="shared" si="6"/>
        <v/>
      </c>
      <c r="B5220" s="262" t="str">
        <f t="shared" si="7"/>
        <v/>
      </c>
    </row>
    <row r="5221" spans="1:2">
      <c r="A5221" s="262" t="str">
        <f t="shared" si="6"/>
        <v/>
      </c>
      <c r="B5221" s="262" t="str">
        <f t="shared" si="7"/>
        <v/>
      </c>
    </row>
    <row r="5222" spans="1:2">
      <c r="A5222" s="262" t="str">
        <f t="shared" si="6"/>
        <v/>
      </c>
      <c r="B5222" s="262" t="str">
        <f t="shared" si="7"/>
        <v/>
      </c>
    </row>
    <row r="5223" spans="1:2">
      <c r="A5223" s="262" t="str">
        <f t="shared" si="6"/>
        <v/>
      </c>
      <c r="B5223" s="262" t="str">
        <f t="shared" si="7"/>
        <v/>
      </c>
    </row>
    <row r="5224" spans="1:2">
      <c r="A5224" s="262" t="str">
        <f t="shared" si="6"/>
        <v/>
      </c>
      <c r="B5224" s="262" t="str">
        <f t="shared" si="7"/>
        <v/>
      </c>
    </row>
    <row r="5225" spans="1:2">
      <c r="A5225" s="262" t="str">
        <f t="shared" si="6"/>
        <v/>
      </c>
      <c r="B5225" s="262" t="str">
        <f t="shared" si="7"/>
        <v/>
      </c>
    </row>
    <row r="5226" spans="1:2">
      <c r="A5226" s="262" t="str">
        <f t="shared" si="6"/>
        <v/>
      </c>
      <c r="B5226" s="262" t="str">
        <f t="shared" si="7"/>
        <v/>
      </c>
    </row>
    <row r="5227" spans="1:2">
      <c r="A5227" s="262" t="str">
        <f t="shared" si="6"/>
        <v/>
      </c>
      <c r="B5227" s="262" t="str">
        <f t="shared" si="7"/>
        <v/>
      </c>
    </row>
    <row r="5228" spans="1:2">
      <c r="A5228" s="262" t="str">
        <f t="shared" si="6"/>
        <v/>
      </c>
      <c r="B5228" s="262" t="str">
        <f t="shared" si="7"/>
        <v/>
      </c>
    </row>
    <row r="5229" spans="1:2">
      <c r="A5229" s="262" t="str">
        <f t="shared" si="6"/>
        <v/>
      </c>
      <c r="B5229" s="262" t="str">
        <f t="shared" si="7"/>
        <v/>
      </c>
    </row>
    <row r="5230" spans="1:2">
      <c r="A5230" s="262" t="str">
        <f t="shared" si="6"/>
        <v/>
      </c>
      <c r="B5230" s="262" t="str">
        <f t="shared" si="7"/>
        <v/>
      </c>
    </row>
    <row r="5231" spans="1:2">
      <c r="A5231" s="262" t="str">
        <f t="shared" si="6"/>
        <v/>
      </c>
      <c r="B5231" s="262" t="str">
        <f t="shared" si="7"/>
        <v/>
      </c>
    </row>
    <row r="5232" spans="1:2">
      <c r="A5232" s="262" t="str">
        <f t="shared" si="6"/>
        <v/>
      </c>
      <c r="B5232" s="262" t="str">
        <f t="shared" si="7"/>
        <v/>
      </c>
    </row>
    <row r="5233" spans="1:2">
      <c r="A5233" s="262" t="str">
        <f t="shared" si="6"/>
        <v/>
      </c>
      <c r="B5233" s="262" t="str">
        <f t="shared" si="7"/>
        <v/>
      </c>
    </row>
    <row r="5234" spans="1:2">
      <c r="A5234" s="262" t="str">
        <f t="shared" si="6"/>
        <v/>
      </c>
      <c r="B5234" s="262" t="str">
        <f t="shared" si="7"/>
        <v/>
      </c>
    </row>
    <row r="5235" spans="1:2">
      <c r="A5235" s="262" t="str">
        <f t="shared" si="6"/>
        <v/>
      </c>
      <c r="B5235" s="262" t="str">
        <f t="shared" si="7"/>
        <v/>
      </c>
    </row>
    <row r="5236" spans="1:2">
      <c r="A5236" s="262" t="str">
        <f t="shared" si="6"/>
        <v/>
      </c>
      <c r="B5236" s="262" t="str">
        <f t="shared" si="7"/>
        <v/>
      </c>
    </row>
    <row r="5237" spans="1:2">
      <c r="A5237" s="262" t="str">
        <f t="shared" si="6"/>
        <v/>
      </c>
      <c r="B5237" s="262" t="str">
        <f t="shared" si="7"/>
        <v/>
      </c>
    </row>
    <row r="5238" spans="1:2">
      <c r="A5238" s="262" t="str">
        <f t="shared" si="6"/>
        <v/>
      </c>
      <c r="B5238" s="262" t="str">
        <f t="shared" si="7"/>
        <v/>
      </c>
    </row>
    <row r="5239" spans="1:2">
      <c r="A5239" s="262" t="str">
        <f t="shared" si="6"/>
        <v/>
      </c>
      <c r="B5239" s="262" t="str">
        <f t="shared" si="7"/>
        <v/>
      </c>
    </row>
    <row r="5240" spans="1:2">
      <c r="A5240" s="262" t="str">
        <f t="shared" si="6"/>
        <v/>
      </c>
      <c r="B5240" s="262" t="str">
        <f t="shared" si="7"/>
        <v/>
      </c>
    </row>
    <row r="5241" spans="1:2">
      <c r="A5241" s="262" t="str">
        <f t="shared" si="6"/>
        <v/>
      </c>
      <c r="B5241" s="262" t="str">
        <f t="shared" si="7"/>
        <v/>
      </c>
    </row>
    <row r="5242" spans="1:2">
      <c r="A5242" s="262" t="str">
        <f t="shared" si="6"/>
        <v/>
      </c>
      <c r="B5242" s="262" t="str">
        <f t="shared" si="7"/>
        <v/>
      </c>
    </row>
    <row r="5243" spans="1:2">
      <c r="A5243" s="262" t="str">
        <f t="shared" si="6"/>
        <v/>
      </c>
      <c r="B5243" s="262" t="str">
        <f t="shared" si="7"/>
        <v/>
      </c>
    </row>
    <row r="5244" spans="1:2">
      <c r="A5244" s="262" t="str">
        <f t="shared" si="6"/>
        <v/>
      </c>
      <c r="B5244" s="262" t="str">
        <f t="shared" si="7"/>
        <v/>
      </c>
    </row>
    <row r="5245" spans="1:2">
      <c r="A5245" s="262" t="str">
        <f t="shared" ref="A5245:A5308" si="8">HYPERLINK("http://tw.stock.yahoo.com/q/ta?s=","")</f>
        <v/>
      </c>
      <c r="B5245" s="262" t="str">
        <f t="shared" ref="B5245:B5308" si="9">HYPERLINK("http://tw.stock.yahoo.com/d/s/earning_.html","")</f>
        <v/>
      </c>
    </row>
    <row r="5246" spans="1:2">
      <c r="A5246" s="262" t="str">
        <f t="shared" si="8"/>
        <v/>
      </c>
      <c r="B5246" s="262" t="str">
        <f t="shared" si="9"/>
        <v/>
      </c>
    </row>
    <row r="5247" spans="1:2">
      <c r="A5247" s="262" t="str">
        <f t="shared" si="8"/>
        <v/>
      </c>
      <c r="B5247" s="262" t="str">
        <f t="shared" si="9"/>
        <v/>
      </c>
    </row>
    <row r="5248" spans="1:2">
      <c r="A5248" s="262" t="str">
        <f t="shared" si="8"/>
        <v/>
      </c>
      <c r="B5248" s="262" t="str">
        <f t="shared" si="9"/>
        <v/>
      </c>
    </row>
    <row r="5249" spans="1:2">
      <c r="A5249" s="262" t="str">
        <f t="shared" si="8"/>
        <v/>
      </c>
      <c r="B5249" s="262" t="str">
        <f t="shared" si="9"/>
        <v/>
      </c>
    </row>
    <row r="5250" spans="1:2">
      <c r="A5250" s="262" t="str">
        <f t="shared" si="8"/>
        <v/>
      </c>
      <c r="B5250" s="262" t="str">
        <f t="shared" si="9"/>
        <v/>
      </c>
    </row>
    <row r="5251" spans="1:2">
      <c r="A5251" s="262" t="str">
        <f t="shared" si="8"/>
        <v/>
      </c>
      <c r="B5251" s="262" t="str">
        <f t="shared" si="9"/>
        <v/>
      </c>
    </row>
    <row r="5252" spans="1:2">
      <c r="A5252" s="262" t="str">
        <f t="shared" si="8"/>
        <v/>
      </c>
      <c r="B5252" s="262" t="str">
        <f t="shared" si="9"/>
        <v/>
      </c>
    </row>
    <row r="5253" spans="1:2">
      <c r="A5253" s="262" t="str">
        <f t="shared" si="8"/>
        <v/>
      </c>
      <c r="B5253" s="262" t="str">
        <f t="shared" si="9"/>
        <v/>
      </c>
    </row>
    <row r="5254" spans="1:2">
      <c r="A5254" s="262" t="str">
        <f t="shared" si="8"/>
        <v/>
      </c>
      <c r="B5254" s="262" t="str">
        <f t="shared" si="9"/>
        <v/>
      </c>
    </row>
    <row r="5255" spans="1:2">
      <c r="A5255" s="262" t="str">
        <f t="shared" si="8"/>
        <v/>
      </c>
      <c r="B5255" s="262" t="str">
        <f t="shared" si="9"/>
        <v/>
      </c>
    </row>
    <row r="5256" spans="1:2">
      <c r="A5256" s="262" t="str">
        <f t="shared" si="8"/>
        <v/>
      </c>
      <c r="B5256" s="262" t="str">
        <f t="shared" si="9"/>
        <v/>
      </c>
    </row>
    <row r="5257" spans="1:2">
      <c r="A5257" s="262" t="str">
        <f t="shared" si="8"/>
        <v/>
      </c>
      <c r="B5257" s="262" t="str">
        <f t="shared" si="9"/>
        <v/>
      </c>
    </row>
    <row r="5258" spans="1:2">
      <c r="A5258" s="262" t="str">
        <f t="shared" si="8"/>
        <v/>
      </c>
      <c r="B5258" s="262" t="str">
        <f t="shared" si="9"/>
        <v/>
      </c>
    </row>
    <row r="5259" spans="1:2">
      <c r="A5259" s="262" t="str">
        <f t="shared" si="8"/>
        <v/>
      </c>
      <c r="B5259" s="262" t="str">
        <f t="shared" si="9"/>
        <v/>
      </c>
    </row>
    <row r="5260" spans="1:2">
      <c r="A5260" s="262" t="str">
        <f t="shared" si="8"/>
        <v/>
      </c>
      <c r="B5260" s="262" t="str">
        <f t="shared" si="9"/>
        <v/>
      </c>
    </row>
    <row r="5261" spans="1:2">
      <c r="A5261" s="262" t="str">
        <f t="shared" si="8"/>
        <v/>
      </c>
      <c r="B5261" s="262" t="str">
        <f t="shared" si="9"/>
        <v/>
      </c>
    </row>
    <row r="5262" spans="1:2">
      <c r="A5262" s="262" t="str">
        <f t="shared" si="8"/>
        <v/>
      </c>
      <c r="B5262" s="262" t="str">
        <f t="shared" si="9"/>
        <v/>
      </c>
    </row>
    <row r="5263" spans="1:2">
      <c r="A5263" s="262" t="str">
        <f t="shared" si="8"/>
        <v/>
      </c>
      <c r="B5263" s="262" t="str">
        <f t="shared" si="9"/>
        <v/>
      </c>
    </row>
    <row r="5264" spans="1:2">
      <c r="A5264" s="262" t="str">
        <f t="shared" si="8"/>
        <v/>
      </c>
      <c r="B5264" s="262" t="str">
        <f t="shared" si="9"/>
        <v/>
      </c>
    </row>
    <row r="5265" spans="1:2">
      <c r="A5265" s="262" t="str">
        <f t="shared" si="8"/>
        <v/>
      </c>
      <c r="B5265" s="262" t="str">
        <f t="shared" si="9"/>
        <v/>
      </c>
    </row>
    <row r="5266" spans="1:2">
      <c r="A5266" s="262" t="str">
        <f t="shared" si="8"/>
        <v/>
      </c>
      <c r="B5266" s="262" t="str">
        <f t="shared" si="9"/>
        <v/>
      </c>
    </row>
    <row r="5267" spans="1:2">
      <c r="A5267" s="262" t="str">
        <f t="shared" si="8"/>
        <v/>
      </c>
      <c r="B5267" s="262" t="str">
        <f t="shared" si="9"/>
        <v/>
      </c>
    </row>
    <row r="5268" spans="1:2">
      <c r="A5268" s="262" t="str">
        <f t="shared" si="8"/>
        <v/>
      </c>
      <c r="B5268" s="262" t="str">
        <f t="shared" si="9"/>
        <v/>
      </c>
    </row>
    <row r="5269" spans="1:2">
      <c r="A5269" s="262" t="str">
        <f t="shared" si="8"/>
        <v/>
      </c>
      <c r="B5269" s="262" t="str">
        <f t="shared" si="9"/>
        <v/>
      </c>
    </row>
    <row r="5270" spans="1:2">
      <c r="A5270" s="262" t="str">
        <f t="shared" si="8"/>
        <v/>
      </c>
      <c r="B5270" s="262" t="str">
        <f t="shared" si="9"/>
        <v/>
      </c>
    </row>
    <row r="5271" spans="1:2">
      <c r="A5271" s="262" t="str">
        <f t="shared" si="8"/>
        <v/>
      </c>
      <c r="B5271" s="262" t="str">
        <f t="shared" si="9"/>
        <v/>
      </c>
    </row>
    <row r="5272" spans="1:2">
      <c r="A5272" s="262" t="str">
        <f t="shared" si="8"/>
        <v/>
      </c>
      <c r="B5272" s="262" t="str">
        <f t="shared" si="9"/>
        <v/>
      </c>
    </row>
    <row r="5273" spans="1:2">
      <c r="A5273" s="262" t="str">
        <f t="shared" si="8"/>
        <v/>
      </c>
      <c r="B5273" s="262" t="str">
        <f t="shared" si="9"/>
        <v/>
      </c>
    </row>
    <row r="5274" spans="1:2">
      <c r="A5274" s="262" t="str">
        <f t="shared" si="8"/>
        <v/>
      </c>
      <c r="B5274" s="262" t="str">
        <f t="shared" si="9"/>
        <v/>
      </c>
    </row>
    <row r="5275" spans="1:2">
      <c r="A5275" s="262" t="str">
        <f t="shared" si="8"/>
        <v/>
      </c>
      <c r="B5275" s="262" t="str">
        <f t="shared" si="9"/>
        <v/>
      </c>
    </row>
    <row r="5276" spans="1:2">
      <c r="A5276" s="262" t="str">
        <f t="shared" si="8"/>
        <v/>
      </c>
      <c r="B5276" s="262" t="str">
        <f t="shared" si="9"/>
        <v/>
      </c>
    </row>
    <row r="5277" spans="1:2">
      <c r="A5277" s="262" t="str">
        <f t="shared" si="8"/>
        <v/>
      </c>
      <c r="B5277" s="262" t="str">
        <f t="shared" si="9"/>
        <v/>
      </c>
    </row>
    <row r="5278" spans="1:2">
      <c r="A5278" s="262" t="str">
        <f t="shared" si="8"/>
        <v/>
      </c>
      <c r="B5278" s="262" t="str">
        <f t="shared" si="9"/>
        <v/>
      </c>
    </row>
    <row r="5279" spans="1:2">
      <c r="A5279" s="262" t="str">
        <f t="shared" si="8"/>
        <v/>
      </c>
      <c r="B5279" s="262" t="str">
        <f t="shared" si="9"/>
        <v/>
      </c>
    </row>
    <row r="5280" spans="1:2">
      <c r="A5280" s="262" t="str">
        <f t="shared" si="8"/>
        <v/>
      </c>
      <c r="B5280" s="262" t="str">
        <f t="shared" si="9"/>
        <v/>
      </c>
    </row>
    <row r="5281" spans="1:2">
      <c r="A5281" s="262" t="str">
        <f t="shared" si="8"/>
        <v/>
      </c>
      <c r="B5281" s="262" t="str">
        <f t="shared" si="9"/>
        <v/>
      </c>
    </row>
    <row r="5282" spans="1:2">
      <c r="A5282" s="262" t="str">
        <f t="shared" si="8"/>
        <v/>
      </c>
      <c r="B5282" s="262" t="str">
        <f t="shared" si="9"/>
        <v/>
      </c>
    </row>
    <row r="5283" spans="1:2">
      <c r="A5283" s="262" t="str">
        <f t="shared" si="8"/>
        <v/>
      </c>
      <c r="B5283" s="262" t="str">
        <f t="shared" si="9"/>
        <v/>
      </c>
    </row>
    <row r="5284" spans="1:2">
      <c r="A5284" s="262" t="str">
        <f t="shared" si="8"/>
        <v/>
      </c>
      <c r="B5284" s="262" t="str">
        <f t="shared" si="9"/>
        <v/>
      </c>
    </row>
    <row r="5285" spans="1:2">
      <c r="A5285" s="262" t="str">
        <f t="shared" si="8"/>
        <v/>
      </c>
      <c r="B5285" s="262" t="str">
        <f t="shared" si="9"/>
        <v/>
      </c>
    </row>
    <row r="5286" spans="1:2">
      <c r="A5286" s="262" t="str">
        <f t="shared" si="8"/>
        <v/>
      </c>
      <c r="B5286" s="262" t="str">
        <f t="shared" si="9"/>
        <v/>
      </c>
    </row>
    <row r="5287" spans="1:2">
      <c r="A5287" s="262" t="str">
        <f t="shared" si="8"/>
        <v/>
      </c>
      <c r="B5287" s="262" t="str">
        <f t="shared" si="9"/>
        <v/>
      </c>
    </row>
    <row r="5288" spans="1:2">
      <c r="A5288" s="262" t="str">
        <f t="shared" si="8"/>
        <v/>
      </c>
      <c r="B5288" s="262" t="str">
        <f t="shared" si="9"/>
        <v/>
      </c>
    </row>
    <row r="5289" spans="1:2">
      <c r="A5289" s="262" t="str">
        <f t="shared" si="8"/>
        <v/>
      </c>
      <c r="B5289" s="262" t="str">
        <f t="shared" si="9"/>
        <v/>
      </c>
    </row>
    <row r="5290" spans="1:2">
      <c r="A5290" s="262" t="str">
        <f t="shared" si="8"/>
        <v/>
      </c>
      <c r="B5290" s="262" t="str">
        <f t="shared" si="9"/>
        <v/>
      </c>
    </row>
    <row r="5291" spans="1:2">
      <c r="A5291" s="262" t="str">
        <f t="shared" si="8"/>
        <v/>
      </c>
      <c r="B5291" s="262" t="str">
        <f t="shared" si="9"/>
        <v/>
      </c>
    </row>
    <row r="5292" spans="1:2">
      <c r="A5292" s="262" t="str">
        <f t="shared" si="8"/>
        <v/>
      </c>
      <c r="B5292" s="262" t="str">
        <f t="shared" si="9"/>
        <v/>
      </c>
    </row>
    <row r="5293" spans="1:2">
      <c r="A5293" s="262" t="str">
        <f t="shared" si="8"/>
        <v/>
      </c>
      <c r="B5293" s="262" t="str">
        <f t="shared" si="9"/>
        <v/>
      </c>
    </row>
    <row r="5294" spans="1:2">
      <c r="A5294" s="262" t="str">
        <f t="shared" si="8"/>
        <v/>
      </c>
      <c r="B5294" s="262" t="str">
        <f t="shared" si="9"/>
        <v/>
      </c>
    </row>
    <row r="5295" spans="1:2">
      <c r="A5295" s="262" t="str">
        <f t="shared" si="8"/>
        <v/>
      </c>
      <c r="B5295" s="262" t="str">
        <f t="shared" si="9"/>
        <v/>
      </c>
    </row>
    <row r="5296" spans="1:2">
      <c r="A5296" s="262" t="str">
        <f t="shared" si="8"/>
        <v/>
      </c>
      <c r="B5296" s="262" t="str">
        <f t="shared" si="9"/>
        <v/>
      </c>
    </row>
    <row r="5297" spans="1:2">
      <c r="A5297" s="262" t="str">
        <f t="shared" si="8"/>
        <v/>
      </c>
      <c r="B5297" s="262" t="str">
        <f t="shared" si="9"/>
        <v/>
      </c>
    </row>
    <row r="5298" spans="1:2">
      <c r="A5298" s="262" t="str">
        <f t="shared" si="8"/>
        <v/>
      </c>
      <c r="B5298" s="262" t="str">
        <f t="shared" si="9"/>
        <v/>
      </c>
    </row>
    <row r="5299" spans="1:2">
      <c r="A5299" s="262" t="str">
        <f t="shared" si="8"/>
        <v/>
      </c>
      <c r="B5299" s="262" t="str">
        <f t="shared" si="9"/>
        <v/>
      </c>
    </row>
    <row r="5300" spans="1:2">
      <c r="A5300" s="262" t="str">
        <f t="shared" si="8"/>
        <v/>
      </c>
      <c r="B5300" s="262" t="str">
        <f t="shared" si="9"/>
        <v/>
      </c>
    </row>
    <row r="5301" spans="1:2">
      <c r="A5301" s="262" t="str">
        <f t="shared" si="8"/>
        <v/>
      </c>
      <c r="B5301" s="262" t="str">
        <f t="shared" si="9"/>
        <v/>
      </c>
    </row>
    <row r="5302" spans="1:2">
      <c r="A5302" s="262" t="str">
        <f t="shared" si="8"/>
        <v/>
      </c>
      <c r="B5302" s="262" t="str">
        <f t="shared" si="9"/>
        <v/>
      </c>
    </row>
    <row r="5303" spans="1:2">
      <c r="A5303" s="262" t="str">
        <f t="shared" si="8"/>
        <v/>
      </c>
      <c r="B5303" s="262" t="str">
        <f t="shared" si="9"/>
        <v/>
      </c>
    </row>
    <row r="5304" spans="1:2">
      <c r="A5304" s="262" t="str">
        <f t="shared" si="8"/>
        <v/>
      </c>
      <c r="B5304" s="262" t="str">
        <f t="shared" si="9"/>
        <v/>
      </c>
    </row>
    <row r="5305" spans="1:2">
      <c r="A5305" s="262" t="str">
        <f t="shared" si="8"/>
        <v/>
      </c>
      <c r="B5305" s="262" t="str">
        <f t="shared" si="9"/>
        <v/>
      </c>
    </row>
    <row r="5306" spans="1:2">
      <c r="A5306" s="262" t="str">
        <f t="shared" si="8"/>
        <v/>
      </c>
      <c r="B5306" s="262" t="str">
        <f t="shared" si="9"/>
        <v/>
      </c>
    </row>
    <row r="5307" spans="1:2">
      <c r="A5307" s="262" t="str">
        <f t="shared" si="8"/>
        <v/>
      </c>
      <c r="B5307" s="262" t="str">
        <f t="shared" si="9"/>
        <v/>
      </c>
    </row>
    <row r="5308" spans="1:2">
      <c r="A5308" s="262" t="str">
        <f t="shared" si="8"/>
        <v/>
      </c>
      <c r="B5308" s="262" t="str">
        <f t="shared" si="9"/>
        <v/>
      </c>
    </row>
    <row r="5309" spans="1:2">
      <c r="A5309" s="262" t="str">
        <f t="shared" ref="A5309:A5372" si="10">HYPERLINK("http://tw.stock.yahoo.com/q/ta?s=","")</f>
        <v/>
      </c>
      <c r="B5309" s="262" t="str">
        <f t="shared" ref="B5309:B5372" si="11">HYPERLINK("http://tw.stock.yahoo.com/d/s/earning_.html","")</f>
        <v/>
      </c>
    </row>
    <row r="5310" spans="1:2">
      <c r="A5310" s="262" t="str">
        <f t="shared" si="10"/>
        <v/>
      </c>
      <c r="B5310" s="262" t="str">
        <f t="shared" si="11"/>
        <v/>
      </c>
    </row>
    <row r="5311" spans="1:2">
      <c r="A5311" s="262" t="str">
        <f t="shared" si="10"/>
        <v/>
      </c>
      <c r="B5311" s="262" t="str">
        <f t="shared" si="11"/>
        <v/>
      </c>
    </row>
    <row r="5312" spans="1:2">
      <c r="A5312" s="262" t="str">
        <f t="shared" si="10"/>
        <v/>
      </c>
      <c r="B5312" s="262" t="str">
        <f t="shared" si="11"/>
        <v/>
      </c>
    </row>
    <row r="5313" spans="1:2">
      <c r="A5313" s="262" t="str">
        <f t="shared" si="10"/>
        <v/>
      </c>
      <c r="B5313" s="262" t="str">
        <f t="shared" si="11"/>
        <v/>
      </c>
    </row>
    <row r="5314" spans="1:2">
      <c r="A5314" s="262" t="str">
        <f t="shared" si="10"/>
        <v/>
      </c>
      <c r="B5314" s="262" t="str">
        <f t="shared" si="11"/>
        <v/>
      </c>
    </row>
    <row r="5315" spans="1:2">
      <c r="A5315" s="262" t="str">
        <f t="shared" si="10"/>
        <v/>
      </c>
      <c r="B5315" s="262" t="str">
        <f t="shared" si="11"/>
        <v/>
      </c>
    </row>
    <row r="5316" spans="1:2">
      <c r="A5316" s="262" t="str">
        <f t="shared" si="10"/>
        <v/>
      </c>
      <c r="B5316" s="262" t="str">
        <f t="shared" si="11"/>
        <v/>
      </c>
    </row>
    <row r="5317" spans="1:2">
      <c r="A5317" s="262" t="str">
        <f t="shared" si="10"/>
        <v/>
      </c>
      <c r="B5317" s="262" t="str">
        <f t="shared" si="11"/>
        <v/>
      </c>
    </row>
    <row r="5318" spans="1:2">
      <c r="A5318" s="262" t="str">
        <f t="shared" si="10"/>
        <v/>
      </c>
      <c r="B5318" s="262" t="str">
        <f t="shared" si="11"/>
        <v/>
      </c>
    </row>
    <row r="5319" spans="1:2">
      <c r="A5319" s="262" t="str">
        <f t="shared" si="10"/>
        <v/>
      </c>
      <c r="B5319" s="262" t="str">
        <f t="shared" si="11"/>
        <v/>
      </c>
    </row>
    <row r="5320" spans="1:2">
      <c r="A5320" s="262" t="str">
        <f t="shared" si="10"/>
        <v/>
      </c>
      <c r="B5320" s="262" t="str">
        <f t="shared" si="11"/>
        <v/>
      </c>
    </row>
    <row r="5321" spans="1:2">
      <c r="A5321" s="262" t="str">
        <f t="shared" si="10"/>
        <v/>
      </c>
      <c r="B5321" s="262" t="str">
        <f t="shared" si="11"/>
        <v/>
      </c>
    </row>
    <row r="5322" spans="1:2">
      <c r="A5322" s="262" t="str">
        <f t="shared" si="10"/>
        <v/>
      </c>
      <c r="B5322" s="262" t="str">
        <f t="shared" si="11"/>
        <v/>
      </c>
    </row>
    <row r="5323" spans="1:2">
      <c r="A5323" s="262" t="str">
        <f t="shared" si="10"/>
        <v/>
      </c>
      <c r="B5323" s="262" t="str">
        <f t="shared" si="11"/>
        <v/>
      </c>
    </row>
    <row r="5324" spans="1:2">
      <c r="A5324" s="262" t="str">
        <f t="shared" si="10"/>
        <v/>
      </c>
      <c r="B5324" s="262" t="str">
        <f t="shared" si="11"/>
        <v/>
      </c>
    </row>
    <row r="5325" spans="1:2">
      <c r="A5325" s="262" t="str">
        <f t="shared" si="10"/>
        <v/>
      </c>
      <c r="B5325" s="262" t="str">
        <f t="shared" si="11"/>
        <v/>
      </c>
    </row>
    <row r="5326" spans="1:2">
      <c r="A5326" s="262" t="str">
        <f t="shared" si="10"/>
        <v/>
      </c>
      <c r="B5326" s="262" t="str">
        <f t="shared" si="11"/>
        <v/>
      </c>
    </row>
    <row r="5327" spans="1:2">
      <c r="A5327" s="262" t="str">
        <f t="shared" si="10"/>
        <v/>
      </c>
      <c r="B5327" s="262" t="str">
        <f t="shared" si="11"/>
        <v/>
      </c>
    </row>
    <row r="5328" spans="1:2">
      <c r="A5328" s="262" t="str">
        <f t="shared" si="10"/>
        <v/>
      </c>
      <c r="B5328" s="262" t="str">
        <f t="shared" si="11"/>
        <v/>
      </c>
    </row>
    <row r="5329" spans="1:2">
      <c r="A5329" s="262" t="str">
        <f t="shared" si="10"/>
        <v/>
      </c>
      <c r="B5329" s="262" t="str">
        <f t="shared" si="11"/>
        <v/>
      </c>
    </row>
    <row r="5330" spans="1:2">
      <c r="A5330" s="262" t="str">
        <f t="shared" si="10"/>
        <v/>
      </c>
      <c r="B5330" s="262" t="str">
        <f t="shared" si="11"/>
        <v/>
      </c>
    </row>
    <row r="5331" spans="1:2">
      <c r="A5331" s="262" t="str">
        <f t="shared" si="10"/>
        <v/>
      </c>
      <c r="B5331" s="262" t="str">
        <f t="shared" si="11"/>
        <v/>
      </c>
    </row>
    <row r="5332" spans="1:2">
      <c r="A5332" s="262" t="str">
        <f t="shared" si="10"/>
        <v/>
      </c>
      <c r="B5332" s="262" t="str">
        <f t="shared" si="11"/>
        <v/>
      </c>
    </row>
    <row r="5333" spans="1:2">
      <c r="A5333" s="262" t="str">
        <f t="shared" si="10"/>
        <v/>
      </c>
      <c r="B5333" s="262" t="str">
        <f t="shared" si="11"/>
        <v/>
      </c>
    </row>
    <row r="5334" spans="1:2">
      <c r="A5334" s="262" t="str">
        <f t="shared" si="10"/>
        <v/>
      </c>
      <c r="B5334" s="262" t="str">
        <f t="shared" si="11"/>
        <v/>
      </c>
    </row>
    <row r="5335" spans="1:2">
      <c r="A5335" s="262" t="str">
        <f t="shared" si="10"/>
        <v/>
      </c>
      <c r="B5335" s="262" t="str">
        <f t="shared" si="11"/>
        <v/>
      </c>
    </row>
    <row r="5336" spans="1:2">
      <c r="A5336" s="262" t="str">
        <f t="shared" si="10"/>
        <v/>
      </c>
      <c r="B5336" s="262" t="str">
        <f t="shared" si="11"/>
        <v/>
      </c>
    </row>
    <row r="5337" spans="1:2">
      <c r="A5337" s="262" t="str">
        <f t="shared" si="10"/>
        <v/>
      </c>
      <c r="B5337" s="262" t="str">
        <f t="shared" si="11"/>
        <v/>
      </c>
    </row>
    <row r="5338" spans="1:2">
      <c r="A5338" s="262" t="str">
        <f t="shared" si="10"/>
        <v/>
      </c>
      <c r="B5338" s="262" t="str">
        <f t="shared" si="11"/>
        <v/>
      </c>
    </row>
    <row r="5339" spans="1:2">
      <c r="A5339" s="262" t="str">
        <f t="shared" si="10"/>
        <v/>
      </c>
      <c r="B5339" s="262" t="str">
        <f t="shared" si="11"/>
        <v/>
      </c>
    </row>
    <row r="5340" spans="1:2">
      <c r="A5340" s="262" t="str">
        <f t="shared" si="10"/>
        <v/>
      </c>
      <c r="B5340" s="262" t="str">
        <f t="shared" si="11"/>
        <v/>
      </c>
    </row>
    <row r="5341" spans="1:2">
      <c r="A5341" s="262" t="str">
        <f t="shared" si="10"/>
        <v/>
      </c>
      <c r="B5341" s="262" t="str">
        <f t="shared" si="11"/>
        <v/>
      </c>
    </row>
    <row r="5342" spans="1:2">
      <c r="A5342" s="262" t="str">
        <f t="shared" si="10"/>
        <v/>
      </c>
      <c r="B5342" s="262" t="str">
        <f t="shared" si="11"/>
        <v/>
      </c>
    </row>
    <row r="5343" spans="1:2">
      <c r="A5343" s="262" t="str">
        <f t="shared" si="10"/>
        <v/>
      </c>
      <c r="B5343" s="262" t="str">
        <f t="shared" si="11"/>
        <v/>
      </c>
    </row>
    <row r="5344" spans="1:2">
      <c r="A5344" s="262" t="str">
        <f t="shared" si="10"/>
        <v/>
      </c>
      <c r="B5344" s="262" t="str">
        <f t="shared" si="11"/>
        <v/>
      </c>
    </row>
    <row r="5345" spans="1:2">
      <c r="A5345" s="262" t="str">
        <f t="shared" si="10"/>
        <v/>
      </c>
      <c r="B5345" s="262" t="str">
        <f t="shared" si="11"/>
        <v/>
      </c>
    </row>
    <row r="5346" spans="1:2">
      <c r="A5346" s="262" t="str">
        <f t="shared" si="10"/>
        <v/>
      </c>
      <c r="B5346" s="262" t="str">
        <f t="shared" si="11"/>
        <v/>
      </c>
    </row>
    <row r="5347" spans="1:2">
      <c r="A5347" s="262" t="str">
        <f t="shared" si="10"/>
        <v/>
      </c>
      <c r="B5347" s="262" t="str">
        <f t="shared" si="11"/>
        <v/>
      </c>
    </row>
    <row r="5348" spans="1:2">
      <c r="A5348" s="262" t="str">
        <f t="shared" si="10"/>
        <v/>
      </c>
      <c r="B5348" s="262" t="str">
        <f t="shared" si="11"/>
        <v/>
      </c>
    </row>
    <row r="5349" spans="1:2">
      <c r="A5349" s="262" t="str">
        <f t="shared" si="10"/>
        <v/>
      </c>
      <c r="B5349" s="262" t="str">
        <f t="shared" si="11"/>
        <v/>
      </c>
    </row>
    <row r="5350" spans="1:2">
      <c r="A5350" s="262" t="str">
        <f t="shared" si="10"/>
        <v/>
      </c>
      <c r="B5350" s="262" t="str">
        <f t="shared" si="11"/>
        <v/>
      </c>
    </row>
    <row r="5351" spans="1:2">
      <c r="A5351" s="262" t="str">
        <f t="shared" si="10"/>
        <v/>
      </c>
      <c r="B5351" s="262" t="str">
        <f t="shared" si="11"/>
        <v/>
      </c>
    </row>
    <row r="5352" spans="1:2">
      <c r="A5352" s="262" t="str">
        <f t="shared" si="10"/>
        <v/>
      </c>
      <c r="B5352" s="262" t="str">
        <f t="shared" si="11"/>
        <v/>
      </c>
    </row>
    <row r="5353" spans="1:2">
      <c r="A5353" s="262" t="str">
        <f t="shared" si="10"/>
        <v/>
      </c>
      <c r="B5353" s="262" t="str">
        <f t="shared" si="11"/>
        <v/>
      </c>
    </row>
    <row r="5354" spans="1:2">
      <c r="A5354" s="262" t="str">
        <f t="shared" si="10"/>
        <v/>
      </c>
      <c r="B5354" s="262" t="str">
        <f t="shared" si="11"/>
        <v/>
      </c>
    </row>
    <row r="5355" spans="1:2">
      <c r="A5355" s="262" t="str">
        <f t="shared" si="10"/>
        <v/>
      </c>
      <c r="B5355" s="262" t="str">
        <f t="shared" si="11"/>
        <v/>
      </c>
    </row>
    <row r="5356" spans="1:2">
      <c r="A5356" s="262" t="str">
        <f t="shared" si="10"/>
        <v/>
      </c>
      <c r="B5356" s="262" t="str">
        <f t="shared" si="11"/>
        <v/>
      </c>
    </row>
    <row r="5357" spans="1:2">
      <c r="A5357" s="262" t="str">
        <f t="shared" si="10"/>
        <v/>
      </c>
      <c r="B5357" s="262" t="str">
        <f t="shared" si="11"/>
        <v/>
      </c>
    </row>
    <row r="5358" spans="1:2">
      <c r="A5358" s="262" t="str">
        <f t="shared" si="10"/>
        <v/>
      </c>
      <c r="B5358" s="262" t="str">
        <f t="shared" si="11"/>
        <v/>
      </c>
    </row>
    <row r="5359" spans="1:2">
      <c r="A5359" s="262" t="str">
        <f t="shared" si="10"/>
        <v/>
      </c>
      <c r="B5359" s="262" t="str">
        <f t="shared" si="11"/>
        <v/>
      </c>
    </row>
    <row r="5360" spans="1:2">
      <c r="A5360" s="262" t="str">
        <f t="shared" si="10"/>
        <v/>
      </c>
      <c r="B5360" s="262" t="str">
        <f t="shared" si="11"/>
        <v/>
      </c>
    </row>
    <row r="5361" spans="1:2">
      <c r="A5361" s="262" t="str">
        <f t="shared" si="10"/>
        <v/>
      </c>
      <c r="B5361" s="262" t="str">
        <f t="shared" si="11"/>
        <v/>
      </c>
    </row>
    <row r="5362" spans="1:2">
      <c r="A5362" s="262" t="str">
        <f t="shared" si="10"/>
        <v/>
      </c>
      <c r="B5362" s="262" t="str">
        <f t="shared" si="11"/>
        <v/>
      </c>
    </row>
    <row r="5363" spans="1:2">
      <c r="A5363" s="262" t="str">
        <f t="shared" si="10"/>
        <v/>
      </c>
      <c r="B5363" s="262" t="str">
        <f t="shared" si="11"/>
        <v/>
      </c>
    </row>
    <row r="5364" spans="1:2">
      <c r="A5364" s="262" t="str">
        <f t="shared" si="10"/>
        <v/>
      </c>
      <c r="B5364" s="262" t="str">
        <f t="shared" si="11"/>
        <v/>
      </c>
    </row>
    <row r="5365" spans="1:2">
      <c r="A5365" s="262" t="str">
        <f t="shared" si="10"/>
        <v/>
      </c>
      <c r="B5365" s="262" t="str">
        <f t="shared" si="11"/>
        <v/>
      </c>
    </row>
    <row r="5366" spans="1:2">
      <c r="A5366" s="262" t="str">
        <f t="shared" si="10"/>
        <v/>
      </c>
      <c r="B5366" s="262" t="str">
        <f t="shared" si="11"/>
        <v/>
      </c>
    </row>
    <row r="5367" spans="1:2">
      <c r="A5367" s="262" t="str">
        <f t="shared" si="10"/>
        <v/>
      </c>
      <c r="B5367" s="262" t="str">
        <f t="shared" si="11"/>
        <v/>
      </c>
    </row>
    <row r="5368" spans="1:2">
      <c r="A5368" s="262" t="str">
        <f t="shared" si="10"/>
        <v/>
      </c>
      <c r="B5368" s="262" t="str">
        <f t="shared" si="11"/>
        <v/>
      </c>
    </row>
    <row r="5369" spans="1:2">
      <c r="A5369" s="262" t="str">
        <f t="shared" si="10"/>
        <v/>
      </c>
      <c r="B5369" s="262" t="str">
        <f t="shared" si="11"/>
        <v/>
      </c>
    </row>
    <row r="5370" spans="1:2">
      <c r="A5370" s="262" t="str">
        <f t="shared" si="10"/>
        <v/>
      </c>
      <c r="B5370" s="262" t="str">
        <f t="shared" si="11"/>
        <v/>
      </c>
    </row>
    <row r="5371" spans="1:2">
      <c r="A5371" s="262" t="str">
        <f t="shared" si="10"/>
        <v/>
      </c>
      <c r="B5371" s="262" t="str">
        <f t="shared" si="11"/>
        <v/>
      </c>
    </row>
    <row r="5372" spans="1:2">
      <c r="A5372" s="262" t="str">
        <f t="shared" si="10"/>
        <v/>
      </c>
      <c r="B5372" s="262" t="str">
        <f t="shared" si="11"/>
        <v/>
      </c>
    </row>
    <row r="5373" spans="1:2">
      <c r="A5373" s="262" t="str">
        <f t="shared" ref="A5373:A5436" si="12">HYPERLINK("http://tw.stock.yahoo.com/q/ta?s=","")</f>
        <v/>
      </c>
      <c r="B5373" s="262" t="str">
        <f t="shared" ref="B5373:B5436" si="13">HYPERLINK("http://tw.stock.yahoo.com/d/s/earning_.html","")</f>
        <v/>
      </c>
    </row>
    <row r="5374" spans="1:2">
      <c r="A5374" s="262" t="str">
        <f t="shared" si="12"/>
        <v/>
      </c>
      <c r="B5374" s="262" t="str">
        <f t="shared" si="13"/>
        <v/>
      </c>
    </row>
    <row r="5375" spans="1:2">
      <c r="A5375" s="262" t="str">
        <f t="shared" si="12"/>
        <v/>
      </c>
      <c r="B5375" s="262" t="str">
        <f t="shared" si="13"/>
        <v/>
      </c>
    </row>
    <row r="5376" spans="1:2">
      <c r="A5376" s="262" t="str">
        <f t="shared" si="12"/>
        <v/>
      </c>
      <c r="B5376" s="262" t="str">
        <f t="shared" si="13"/>
        <v/>
      </c>
    </row>
    <row r="5377" spans="1:2">
      <c r="A5377" s="262" t="str">
        <f t="shared" si="12"/>
        <v/>
      </c>
      <c r="B5377" s="262" t="str">
        <f t="shared" si="13"/>
        <v/>
      </c>
    </row>
    <row r="5378" spans="1:2">
      <c r="A5378" s="262" t="str">
        <f t="shared" si="12"/>
        <v/>
      </c>
      <c r="B5378" s="262" t="str">
        <f t="shared" si="13"/>
        <v/>
      </c>
    </row>
    <row r="5379" spans="1:2">
      <c r="A5379" s="262" t="str">
        <f t="shared" si="12"/>
        <v/>
      </c>
      <c r="B5379" s="262" t="str">
        <f t="shared" si="13"/>
        <v/>
      </c>
    </row>
    <row r="5380" spans="1:2">
      <c r="A5380" s="262" t="str">
        <f t="shared" si="12"/>
        <v/>
      </c>
      <c r="B5380" s="262" t="str">
        <f t="shared" si="13"/>
        <v/>
      </c>
    </row>
    <row r="5381" spans="1:2">
      <c r="A5381" s="262" t="str">
        <f t="shared" si="12"/>
        <v/>
      </c>
      <c r="B5381" s="262" t="str">
        <f t="shared" si="13"/>
        <v/>
      </c>
    </row>
    <row r="5382" spans="1:2">
      <c r="A5382" s="262" t="str">
        <f t="shared" si="12"/>
        <v/>
      </c>
      <c r="B5382" s="262" t="str">
        <f t="shared" si="13"/>
        <v/>
      </c>
    </row>
    <row r="5383" spans="1:2">
      <c r="A5383" s="262" t="str">
        <f t="shared" si="12"/>
        <v/>
      </c>
      <c r="B5383" s="262" t="str">
        <f t="shared" si="13"/>
        <v/>
      </c>
    </row>
    <row r="5384" spans="1:2">
      <c r="A5384" s="262" t="str">
        <f t="shared" si="12"/>
        <v/>
      </c>
      <c r="B5384" s="262" t="str">
        <f t="shared" si="13"/>
        <v/>
      </c>
    </row>
    <row r="5385" spans="1:2">
      <c r="A5385" s="262" t="str">
        <f t="shared" si="12"/>
        <v/>
      </c>
      <c r="B5385" s="262" t="str">
        <f t="shared" si="13"/>
        <v/>
      </c>
    </row>
    <row r="5386" spans="1:2">
      <c r="A5386" s="262" t="str">
        <f t="shared" si="12"/>
        <v/>
      </c>
      <c r="B5386" s="262" t="str">
        <f t="shared" si="13"/>
        <v/>
      </c>
    </row>
    <row r="5387" spans="1:2">
      <c r="A5387" s="262" t="str">
        <f t="shared" si="12"/>
        <v/>
      </c>
      <c r="B5387" s="262" t="str">
        <f t="shared" si="13"/>
        <v/>
      </c>
    </row>
    <row r="5388" spans="1:2">
      <c r="A5388" s="262" t="str">
        <f t="shared" si="12"/>
        <v/>
      </c>
      <c r="B5388" s="262" t="str">
        <f t="shared" si="13"/>
        <v/>
      </c>
    </row>
    <row r="5389" spans="1:2">
      <c r="A5389" s="262" t="str">
        <f t="shared" si="12"/>
        <v/>
      </c>
      <c r="B5389" s="262" t="str">
        <f t="shared" si="13"/>
        <v/>
      </c>
    </row>
    <row r="5390" spans="1:2">
      <c r="A5390" s="262" t="str">
        <f t="shared" si="12"/>
        <v/>
      </c>
      <c r="B5390" s="262" t="str">
        <f t="shared" si="13"/>
        <v/>
      </c>
    </row>
    <row r="5391" spans="1:2">
      <c r="A5391" s="262" t="str">
        <f t="shared" si="12"/>
        <v/>
      </c>
      <c r="B5391" s="262" t="str">
        <f t="shared" si="13"/>
        <v/>
      </c>
    </row>
    <row r="5392" spans="1:2">
      <c r="A5392" s="262" t="str">
        <f t="shared" si="12"/>
        <v/>
      </c>
      <c r="B5392" s="262" t="str">
        <f t="shared" si="13"/>
        <v/>
      </c>
    </row>
    <row r="5393" spans="1:2">
      <c r="A5393" s="262" t="str">
        <f t="shared" si="12"/>
        <v/>
      </c>
      <c r="B5393" s="262" t="str">
        <f t="shared" si="13"/>
        <v/>
      </c>
    </row>
    <row r="5394" spans="1:2">
      <c r="A5394" s="262" t="str">
        <f t="shared" si="12"/>
        <v/>
      </c>
      <c r="B5394" s="262" t="str">
        <f t="shared" si="13"/>
        <v/>
      </c>
    </row>
    <row r="5395" spans="1:2">
      <c r="A5395" s="262" t="str">
        <f t="shared" si="12"/>
        <v/>
      </c>
      <c r="B5395" s="262" t="str">
        <f t="shared" si="13"/>
        <v/>
      </c>
    </row>
    <row r="5396" spans="1:2">
      <c r="A5396" s="262" t="str">
        <f t="shared" si="12"/>
        <v/>
      </c>
      <c r="B5396" s="262" t="str">
        <f t="shared" si="13"/>
        <v/>
      </c>
    </row>
    <row r="5397" spans="1:2">
      <c r="A5397" s="262" t="str">
        <f t="shared" si="12"/>
        <v/>
      </c>
      <c r="B5397" s="262" t="str">
        <f t="shared" si="13"/>
        <v/>
      </c>
    </row>
    <row r="5398" spans="1:2">
      <c r="A5398" s="262" t="str">
        <f t="shared" si="12"/>
        <v/>
      </c>
      <c r="B5398" s="262" t="str">
        <f t="shared" si="13"/>
        <v/>
      </c>
    </row>
    <row r="5399" spans="1:2">
      <c r="A5399" s="262" t="str">
        <f t="shared" si="12"/>
        <v/>
      </c>
      <c r="B5399" s="262" t="str">
        <f t="shared" si="13"/>
        <v/>
      </c>
    </row>
    <row r="5400" spans="1:2">
      <c r="A5400" s="262" t="str">
        <f t="shared" si="12"/>
        <v/>
      </c>
      <c r="B5400" s="262" t="str">
        <f t="shared" si="13"/>
        <v/>
      </c>
    </row>
    <row r="5401" spans="1:2">
      <c r="A5401" s="262" t="str">
        <f t="shared" si="12"/>
        <v/>
      </c>
      <c r="B5401" s="262" t="str">
        <f t="shared" si="13"/>
        <v/>
      </c>
    </row>
    <row r="5402" spans="1:2">
      <c r="A5402" s="262" t="str">
        <f t="shared" si="12"/>
        <v/>
      </c>
      <c r="B5402" s="262" t="str">
        <f t="shared" si="13"/>
        <v/>
      </c>
    </row>
    <row r="5403" spans="1:2">
      <c r="A5403" s="262" t="str">
        <f t="shared" si="12"/>
        <v/>
      </c>
      <c r="B5403" s="262" t="str">
        <f t="shared" si="13"/>
        <v/>
      </c>
    </row>
    <row r="5404" spans="1:2">
      <c r="A5404" s="262" t="str">
        <f t="shared" si="12"/>
        <v/>
      </c>
      <c r="B5404" s="262" t="str">
        <f t="shared" si="13"/>
        <v/>
      </c>
    </row>
    <row r="5405" spans="1:2">
      <c r="A5405" s="262" t="str">
        <f t="shared" si="12"/>
        <v/>
      </c>
      <c r="B5405" s="262" t="str">
        <f t="shared" si="13"/>
        <v/>
      </c>
    </row>
    <row r="5406" spans="1:2">
      <c r="A5406" s="262" t="str">
        <f t="shared" si="12"/>
        <v/>
      </c>
      <c r="B5406" s="262" t="str">
        <f t="shared" si="13"/>
        <v/>
      </c>
    </row>
    <row r="5407" spans="1:2">
      <c r="A5407" s="262" t="str">
        <f t="shared" si="12"/>
        <v/>
      </c>
      <c r="B5407" s="262" t="str">
        <f t="shared" si="13"/>
        <v/>
      </c>
    </row>
    <row r="5408" spans="1:2">
      <c r="A5408" s="262" t="str">
        <f t="shared" si="12"/>
        <v/>
      </c>
      <c r="B5408" s="262" t="str">
        <f t="shared" si="13"/>
        <v/>
      </c>
    </row>
    <row r="5409" spans="1:2">
      <c r="A5409" s="262" t="str">
        <f t="shared" si="12"/>
        <v/>
      </c>
      <c r="B5409" s="262" t="str">
        <f t="shared" si="13"/>
        <v/>
      </c>
    </row>
    <row r="5410" spans="1:2">
      <c r="A5410" s="262" t="str">
        <f t="shared" si="12"/>
        <v/>
      </c>
      <c r="B5410" s="262" t="str">
        <f t="shared" si="13"/>
        <v/>
      </c>
    </row>
    <row r="5411" spans="1:2">
      <c r="A5411" s="262" t="str">
        <f t="shared" si="12"/>
        <v/>
      </c>
      <c r="B5411" s="262" t="str">
        <f t="shared" si="13"/>
        <v/>
      </c>
    </row>
    <row r="5412" spans="1:2">
      <c r="A5412" s="262" t="str">
        <f t="shared" si="12"/>
        <v/>
      </c>
      <c r="B5412" s="262" t="str">
        <f t="shared" si="13"/>
        <v/>
      </c>
    </row>
    <row r="5413" spans="1:2">
      <c r="A5413" s="262" t="str">
        <f t="shared" si="12"/>
        <v/>
      </c>
      <c r="B5413" s="262" t="str">
        <f t="shared" si="13"/>
        <v/>
      </c>
    </row>
    <row r="5414" spans="1:2">
      <c r="A5414" s="262" t="str">
        <f t="shared" si="12"/>
        <v/>
      </c>
      <c r="B5414" s="262" t="str">
        <f t="shared" si="13"/>
        <v/>
      </c>
    </row>
    <row r="5415" spans="1:2">
      <c r="A5415" s="262" t="str">
        <f t="shared" si="12"/>
        <v/>
      </c>
      <c r="B5415" s="262" t="str">
        <f t="shared" si="13"/>
        <v/>
      </c>
    </row>
    <row r="5416" spans="1:2">
      <c r="A5416" s="262" t="str">
        <f t="shared" si="12"/>
        <v/>
      </c>
      <c r="B5416" s="262" t="str">
        <f t="shared" si="13"/>
        <v/>
      </c>
    </row>
    <row r="5417" spans="1:2">
      <c r="A5417" s="262" t="str">
        <f t="shared" si="12"/>
        <v/>
      </c>
      <c r="B5417" s="262" t="str">
        <f t="shared" si="13"/>
        <v/>
      </c>
    </row>
    <row r="5418" spans="1:2">
      <c r="A5418" s="262" t="str">
        <f t="shared" si="12"/>
        <v/>
      </c>
      <c r="B5418" s="262" t="str">
        <f t="shared" si="13"/>
        <v/>
      </c>
    </row>
    <row r="5419" spans="1:2">
      <c r="A5419" s="262" t="str">
        <f t="shared" si="12"/>
        <v/>
      </c>
      <c r="B5419" s="262" t="str">
        <f t="shared" si="13"/>
        <v/>
      </c>
    </row>
    <row r="5420" spans="1:2">
      <c r="A5420" s="262" t="str">
        <f t="shared" si="12"/>
        <v/>
      </c>
      <c r="B5420" s="262" t="str">
        <f t="shared" si="13"/>
        <v/>
      </c>
    </row>
    <row r="5421" spans="1:2">
      <c r="A5421" s="262" t="str">
        <f t="shared" si="12"/>
        <v/>
      </c>
      <c r="B5421" s="262" t="str">
        <f t="shared" si="13"/>
        <v/>
      </c>
    </row>
    <row r="5422" spans="1:2">
      <c r="A5422" s="262" t="str">
        <f t="shared" si="12"/>
        <v/>
      </c>
      <c r="B5422" s="262" t="str">
        <f t="shared" si="13"/>
        <v/>
      </c>
    </row>
    <row r="5423" spans="1:2">
      <c r="A5423" s="262" t="str">
        <f t="shared" si="12"/>
        <v/>
      </c>
      <c r="B5423" s="262" t="str">
        <f t="shared" si="13"/>
        <v/>
      </c>
    </row>
    <row r="5424" spans="1:2">
      <c r="A5424" s="262" t="str">
        <f t="shared" si="12"/>
        <v/>
      </c>
      <c r="B5424" s="262" t="str">
        <f t="shared" si="13"/>
        <v/>
      </c>
    </row>
    <row r="5425" spans="1:2">
      <c r="A5425" s="262" t="str">
        <f t="shared" si="12"/>
        <v/>
      </c>
      <c r="B5425" s="262" t="str">
        <f t="shared" si="13"/>
        <v/>
      </c>
    </row>
    <row r="5426" spans="1:2">
      <c r="A5426" s="262" t="str">
        <f t="shared" si="12"/>
        <v/>
      </c>
      <c r="B5426" s="262" t="str">
        <f t="shared" si="13"/>
        <v/>
      </c>
    </row>
    <row r="5427" spans="1:2">
      <c r="A5427" s="262" t="str">
        <f t="shared" si="12"/>
        <v/>
      </c>
      <c r="B5427" s="262" t="str">
        <f t="shared" si="13"/>
        <v/>
      </c>
    </row>
    <row r="5428" spans="1:2">
      <c r="A5428" s="262" t="str">
        <f t="shared" si="12"/>
        <v/>
      </c>
      <c r="B5428" s="262" t="str">
        <f t="shared" si="13"/>
        <v/>
      </c>
    </row>
    <row r="5429" spans="1:2">
      <c r="A5429" s="262" t="str">
        <f t="shared" si="12"/>
        <v/>
      </c>
      <c r="B5429" s="262" t="str">
        <f t="shared" si="13"/>
        <v/>
      </c>
    </row>
    <row r="5430" spans="1:2">
      <c r="A5430" s="262" t="str">
        <f t="shared" si="12"/>
        <v/>
      </c>
      <c r="B5430" s="262" t="str">
        <f t="shared" si="13"/>
        <v/>
      </c>
    </row>
    <row r="5431" spans="1:2">
      <c r="A5431" s="262" t="str">
        <f t="shared" si="12"/>
        <v/>
      </c>
      <c r="B5431" s="262" t="str">
        <f t="shared" si="13"/>
        <v/>
      </c>
    </row>
    <row r="5432" spans="1:2">
      <c r="A5432" s="262" t="str">
        <f t="shared" si="12"/>
        <v/>
      </c>
      <c r="B5432" s="262" t="str">
        <f t="shared" si="13"/>
        <v/>
      </c>
    </row>
    <row r="5433" spans="1:2">
      <c r="A5433" s="262" t="str">
        <f t="shared" si="12"/>
        <v/>
      </c>
      <c r="B5433" s="262" t="str">
        <f t="shared" si="13"/>
        <v/>
      </c>
    </row>
    <row r="5434" spans="1:2">
      <c r="A5434" s="262" t="str">
        <f t="shared" si="12"/>
        <v/>
      </c>
      <c r="B5434" s="262" t="str">
        <f t="shared" si="13"/>
        <v/>
      </c>
    </row>
    <row r="5435" spans="1:2">
      <c r="A5435" s="262" t="str">
        <f t="shared" si="12"/>
        <v/>
      </c>
      <c r="B5435" s="262" t="str">
        <f t="shared" si="13"/>
        <v/>
      </c>
    </row>
    <row r="5436" spans="1:2">
      <c r="A5436" s="262" t="str">
        <f t="shared" si="12"/>
        <v/>
      </c>
      <c r="B5436" s="262" t="str">
        <f t="shared" si="13"/>
        <v/>
      </c>
    </row>
    <row r="5437" spans="1:2">
      <c r="A5437" s="262" t="str">
        <f t="shared" ref="A5437:A5500" si="14">HYPERLINK("http://tw.stock.yahoo.com/q/ta?s=","")</f>
        <v/>
      </c>
      <c r="B5437" s="262" t="str">
        <f t="shared" ref="B5437:B5500" si="15">HYPERLINK("http://tw.stock.yahoo.com/d/s/earning_.html","")</f>
        <v/>
      </c>
    </row>
    <row r="5438" spans="1:2">
      <c r="A5438" s="262" t="str">
        <f t="shared" si="14"/>
        <v/>
      </c>
      <c r="B5438" s="262" t="str">
        <f t="shared" si="15"/>
        <v/>
      </c>
    </row>
    <row r="5439" spans="1:2">
      <c r="A5439" s="262" t="str">
        <f t="shared" si="14"/>
        <v/>
      </c>
      <c r="B5439" s="262" t="str">
        <f t="shared" si="15"/>
        <v/>
      </c>
    </row>
    <row r="5440" spans="1:2">
      <c r="A5440" s="262" t="str">
        <f t="shared" si="14"/>
        <v/>
      </c>
      <c r="B5440" s="262" t="str">
        <f t="shared" si="15"/>
        <v/>
      </c>
    </row>
    <row r="5441" spans="1:2">
      <c r="A5441" s="262" t="str">
        <f t="shared" si="14"/>
        <v/>
      </c>
      <c r="B5441" s="262" t="str">
        <f t="shared" si="15"/>
        <v/>
      </c>
    </row>
    <row r="5442" spans="1:2">
      <c r="A5442" s="262" t="str">
        <f t="shared" si="14"/>
        <v/>
      </c>
      <c r="B5442" s="262" t="str">
        <f t="shared" si="15"/>
        <v/>
      </c>
    </row>
    <row r="5443" spans="1:2">
      <c r="A5443" s="262" t="str">
        <f t="shared" si="14"/>
        <v/>
      </c>
      <c r="B5443" s="262" t="str">
        <f t="shared" si="15"/>
        <v/>
      </c>
    </row>
    <row r="5444" spans="1:2">
      <c r="A5444" s="262" t="str">
        <f t="shared" si="14"/>
        <v/>
      </c>
      <c r="B5444" s="262" t="str">
        <f t="shared" si="15"/>
        <v/>
      </c>
    </row>
    <row r="5445" spans="1:2">
      <c r="A5445" s="262" t="str">
        <f t="shared" si="14"/>
        <v/>
      </c>
      <c r="B5445" s="262" t="str">
        <f t="shared" si="15"/>
        <v/>
      </c>
    </row>
    <row r="5446" spans="1:2">
      <c r="A5446" s="262" t="str">
        <f t="shared" si="14"/>
        <v/>
      </c>
      <c r="B5446" s="262" t="str">
        <f t="shared" si="15"/>
        <v/>
      </c>
    </row>
    <row r="5447" spans="1:2">
      <c r="A5447" s="262" t="str">
        <f t="shared" si="14"/>
        <v/>
      </c>
      <c r="B5447" s="262" t="str">
        <f t="shared" si="15"/>
        <v/>
      </c>
    </row>
    <row r="5448" spans="1:2">
      <c r="A5448" s="262" t="str">
        <f t="shared" si="14"/>
        <v/>
      </c>
      <c r="B5448" s="262" t="str">
        <f t="shared" si="15"/>
        <v/>
      </c>
    </row>
    <row r="5449" spans="1:2">
      <c r="A5449" s="262" t="str">
        <f t="shared" si="14"/>
        <v/>
      </c>
      <c r="B5449" s="262" t="str">
        <f t="shared" si="15"/>
        <v/>
      </c>
    </row>
    <row r="5450" spans="1:2">
      <c r="A5450" s="262" t="str">
        <f t="shared" si="14"/>
        <v/>
      </c>
      <c r="B5450" s="262" t="str">
        <f t="shared" si="15"/>
        <v/>
      </c>
    </row>
    <row r="5451" spans="1:2">
      <c r="A5451" s="262" t="str">
        <f t="shared" si="14"/>
        <v/>
      </c>
      <c r="B5451" s="262" t="str">
        <f t="shared" si="15"/>
        <v/>
      </c>
    </row>
    <row r="5452" spans="1:2">
      <c r="A5452" s="262" t="str">
        <f t="shared" si="14"/>
        <v/>
      </c>
      <c r="B5452" s="262" t="str">
        <f t="shared" si="15"/>
        <v/>
      </c>
    </row>
    <row r="5453" spans="1:2">
      <c r="A5453" s="262" t="str">
        <f t="shared" si="14"/>
        <v/>
      </c>
      <c r="B5453" s="262" t="str">
        <f t="shared" si="15"/>
        <v/>
      </c>
    </row>
    <row r="5454" spans="1:2">
      <c r="A5454" s="262" t="str">
        <f t="shared" si="14"/>
        <v/>
      </c>
      <c r="B5454" s="262" t="str">
        <f t="shared" si="15"/>
        <v/>
      </c>
    </row>
    <row r="5455" spans="1:2">
      <c r="A5455" s="262" t="str">
        <f t="shared" si="14"/>
        <v/>
      </c>
      <c r="B5455" s="262" t="str">
        <f t="shared" si="15"/>
        <v/>
      </c>
    </row>
    <row r="5456" spans="1:2">
      <c r="A5456" s="262" t="str">
        <f t="shared" si="14"/>
        <v/>
      </c>
      <c r="B5456" s="262" t="str">
        <f t="shared" si="15"/>
        <v/>
      </c>
    </row>
    <row r="5457" spans="1:2">
      <c r="A5457" s="262" t="str">
        <f t="shared" si="14"/>
        <v/>
      </c>
      <c r="B5457" s="262" t="str">
        <f t="shared" si="15"/>
        <v/>
      </c>
    </row>
    <row r="5458" spans="1:2">
      <c r="A5458" s="262" t="str">
        <f t="shared" si="14"/>
        <v/>
      </c>
      <c r="B5458" s="262" t="str">
        <f t="shared" si="15"/>
        <v/>
      </c>
    </row>
    <row r="5459" spans="1:2">
      <c r="A5459" s="262" t="str">
        <f t="shared" si="14"/>
        <v/>
      </c>
      <c r="B5459" s="262" t="str">
        <f t="shared" si="15"/>
        <v/>
      </c>
    </row>
    <row r="5460" spans="1:2">
      <c r="A5460" s="262" t="str">
        <f t="shared" si="14"/>
        <v/>
      </c>
      <c r="B5460" s="262" t="str">
        <f t="shared" si="15"/>
        <v/>
      </c>
    </row>
    <row r="5461" spans="1:2">
      <c r="A5461" s="262" t="str">
        <f t="shared" si="14"/>
        <v/>
      </c>
      <c r="B5461" s="262" t="str">
        <f t="shared" si="15"/>
        <v/>
      </c>
    </row>
    <row r="5462" spans="1:2">
      <c r="A5462" s="262" t="str">
        <f t="shared" si="14"/>
        <v/>
      </c>
      <c r="B5462" s="262" t="str">
        <f t="shared" si="15"/>
        <v/>
      </c>
    </row>
    <row r="5463" spans="1:2">
      <c r="A5463" s="262" t="str">
        <f t="shared" si="14"/>
        <v/>
      </c>
      <c r="B5463" s="262" t="str">
        <f t="shared" si="15"/>
        <v/>
      </c>
    </row>
    <row r="5464" spans="1:2">
      <c r="A5464" s="262" t="str">
        <f t="shared" si="14"/>
        <v/>
      </c>
      <c r="B5464" s="262" t="str">
        <f t="shared" si="15"/>
        <v/>
      </c>
    </row>
    <row r="5465" spans="1:2">
      <c r="A5465" s="262" t="str">
        <f t="shared" si="14"/>
        <v/>
      </c>
      <c r="B5465" s="262" t="str">
        <f t="shared" si="15"/>
        <v/>
      </c>
    </row>
    <row r="5466" spans="1:2">
      <c r="A5466" s="262" t="str">
        <f t="shared" si="14"/>
        <v/>
      </c>
      <c r="B5466" s="262" t="str">
        <f t="shared" si="15"/>
        <v/>
      </c>
    </row>
    <row r="5467" spans="1:2">
      <c r="A5467" s="262" t="str">
        <f t="shared" si="14"/>
        <v/>
      </c>
      <c r="B5467" s="262" t="str">
        <f t="shared" si="15"/>
        <v/>
      </c>
    </row>
    <row r="5468" spans="1:2">
      <c r="A5468" s="262" t="str">
        <f t="shared" si="14"/>
        <v/>
      </c>
      <c r="B5468" s="262" t="str">
        <f t="shared" si="15"/>
        <v/>
      </c>
    </row>
    <row r="5469" spans="1:2">
      <c r="A5469" s="262" t="str">
        <f t="shared" si="14"/>
        <v/>
      </c>
      <c r="B5469" s="262" t="str">
        <f t="shared" si="15"/>
        <v/>
      </c>
    </row>
    <row r="5470" spans="1:2">
      <c r="A5470" s="262" t="str">
        <f t="shared" si="14"/>
        <v/>
      </c>
      <c r="B5470" s="262" t="str">
        <f t="shared" si="15"/>
        <v/>
      </c>
    </row>
    <row r="5471" spans="1:2">
      <c r="A5471" s="262" t="str">
        <f t="shared" si="14"/>
        <v/>
      </c>
      <c r="B5471" s="262" t="str">
        <f t="shared" si="15"/>
        <v/>
      </c>
    </row>
    <row r="5472" spans="1:2">
      <c r="A5472" s="262" t="str">
        <f t="shared" si="14"/>
        <v/>
      </c>
      <c r="B5472" s="262" t="str">
        <f t="shared" si="15"/>
        <v/>
      </c>
    </row>
    <row r="5473" spans="1:2">
      <c r="A5473" s="262" t="str">
        <f t="shared" si="14"/>
        <v/>
      </c>
      <c r="B5473" s="262" t="str">
        <f t="shared" si="15"/>
        <v/>
      </c>
    </row>
    <row r="5474" spans="1:2">
      <c r="A5474" s="262" t="str">
        <f t="shared" si="14"/>
        <v/>
      </c>
      <c r="B5474" s="262" t="str">
        <f t="shared" si="15"/>
        <v/>
      </c>
    </row>
    <row r="5475" spans="1:2">
      <c r="A5475" s="262" t="str">
        <f t="shared" si="14"/>
        <v/>
      </c>
      <c r="B5475" s="262" t="str">
        <f t="shared" si="15"/>
        <v/>
      </c>
    </row>
    <row r="5476" spans="1:2">
      <c r="A5476" s="262" t="str">
        <f t="shared" si="14"/>
        <v/>
      </c>
      <c r="B5476" s="262" t="str">
        <f t="shared" si="15"/>
        <v/>
      </c>
    </row>
    <row r="5477" spans="1:2">
      <c r="A5477" s="262" t="str">
        <f t="shared" si="14"/>
        <v/>
      </c>
      <c r="B5477" s="262" t="str">
        <f t="shared" si="15"/>
        <v/>
      </c>
    </row>
    <row r="5478" spans="1:2">
      <c r="A5478" s="262" t="str">
        <f t="shared" si="14"/>
        <v/>
      </c>
      <c r="B5478" s="262" t="str">
        <f t="shared" si="15"/>
        <v/>
      </c>
    </row>
    <row r="5479" spans="1:2">
      <c r="A5479" s="262" t="str">
        <f t="shared" si="14"/>
        <v/>
      </c>
      <c r="B5479" s="262" t="str">
        <f t="shared" si="15"/>
        <v/>
      </c>
    </row>
    <row r="5480" spans="1:2">
      <c r="A5480" s="262" t="str">
        <f t="shared" si="14"/>
        <v/>
      </c>
      <c r="B5480" s="262" t="str">
        <f t="shared" si="15"/>
        <v/>
      </c>
    </row>
    <row r="5481" spans="1:2">
      <c r="A5481" s="262" t="str">
        <f t="shared" si="14"/>
        <v/>
      </c>
      <c r="B5481" s="262" t="str">
        <f t="shared" si="15"/>
        <v/>
      </c>
    </row>
    <row r="5482" spans="1:2">
      <c r="A5482" s="262" t="str">
        <f t="shared" si="14"/>
        <v/>
      </c>
      <c r="B5482" s="262" t="str">
        <f t="shared" si="15"/>
        <v/>
      </c>
    </row>
    <row r="5483" spans="1:2">
      <c r="A5483" s="262" t="str">
        <f t="shared" si="14"/>
        <v/>
      </c>
      <c r="B5483" s="262" t="str">
        <f t="shared" si="15"/>
        <v/>
      </c>
    </row>
    <row r="5484" spans="1:2">
      <c r="A5484" s="262" t="str">
        <f t="shared" si="14"/>
        <v/>
      </c>
      <c r="B5484" s="262" t="str">
        <f t="shared" si="15"/>
        <v/>
      </c>
    </row>
    <row r="5485" spans="1:2">
      <c r="A5485" s="262" t="str">
        <f t="shared" si="14"/>
        <v/>
      </c>
      <c r="B5485" s="262" t="str">
        <f t="shared" si="15"/>
        <v/>
      </c>
    </row>
    <row r="5486" spans="1:2">
      <c r="A5486" s="262" t="str">
        <f t="shared" si="14"/>
        <v/>
      </c>
      <c r="B5486" s="262" t="str">
        <f t="shared" si="15"/>
        <v/>
      </c>
    </row>
    <row r="5487" spans="1:2">
      <c r="A5487" s="262" t="str">
        <f t="shared" si="14"/>
        <v/>
      </c>
      <c r="B5487" s="262" t="str">
        <f t="shared" si="15"/>
        <v/>
      </c>
    </row>
    <row r="5488" spans="1:2">
      <c r="A5488" s="262" t="str">
        <f t="shared" si="14"/>
        <v/>
      </c>
      <c r="B5488" s="262" t="str">
        <f t="shared" si="15"/>
        <v/>
      </c>
    </row>
    <row r="5489" spans="1:2">
      <c r="A5489" s="262" t="str">
        <f t="shared" si="14"/>
        <v/>
      </c>
      <c r="B5489" s="262" t="str">
        <f t="shared" si="15"/>
        <v/>
      </c>
    </row>
    <row r="5490" spans="1:2">
      <c r="A5490" s="262" t="str">
        <f t="shared" si="14"/>
        <v/>
      </c>
      <c r="B5490" s="262" t="str">
        <f t="shared" si="15"/>
        <v/>
      </c>
    </row>
    <row r="5491" spans="1:2">
      <c r="A5491" s="262" t="str">
        <f t="shared" si="14"/>
        <v/>
      </c>
      <c r="B5491" s="262" t="str">
        <f t="shared" si="15"/>
        <v/>
      </c>
    </row>
    <row r="5492" spans="1:2">
      <c r="A5492" s="262" t="str">
        <f t="shared" si="14"/>
        <v/>
      </c>
      <c r="B5492" s="262" t="str">
        <f t="shared" si="15"/>
        <v/>
      </c>
    </row>
    <row r="5493" spans="1:2">
      <c r="A5493" s="262" t="str">
        <f t="shared" si="14"/>
        <v/>
      </c>
      <c r="B5493" s="262" t="str">
        <f t="shared" si="15"/>
        <v/>
      </c>
    </row>
    <row r="5494" spans="1:2">
      <c r="A5494" s="262" t="str">
        <f t="shared" si="14"/>
        <v/>
      </c>
      <c r="B5494" s="262" t="str">
        <f t="shared" si="15"/>
        <v/>
      </c>
    </row>
    <row r="5495" spans="1:2">
      <c r="A5495" s="262" t="str">
        <f t="shared" si="14"/>
        <v/>
      </c>
      <c r="B5495" s="262" t="str">
        <f t="shared" si="15"/>
        <v/>
      </c>
    </row>
    <row r="5496" spans="1:2">
      <c r="A5496" s="262" t="str">
        <f t="shared" si="14"/>
        <v/>
      </c>
      <c r="B5496" s="262" t="str">
        <f t="shared" si="15"/>
        <v/>
      </c>
    </row>
    <row r="5497" spans="1:2">
      <c r="A5497" s="262" t="str">
        <f t="shared" si="14"/>
        <v/>
      </c>
      <c r="B5497" s="262" t="str">
        <f t="shared" si="15"/>
        <v/>
      </c>
    </row>
    <row r="5498" spans="1:2">
      <c r="A5498" s="262" t="str">
        <f t="shared" si="14"/>
        <v/>
      </c>
      <c r="B5498" s="262" t="str">
        <f t="shared" si="15"/>
        <v/>
      </c>
    </row>
    <row r="5499" spans="1:2">
      <c r="A5499" s="262" t="str">
        <f t="shared" si="14"/>
        <v/>
      </c>
      <c r="B5499" s="262" t="str">
        <f t="shared" si="15"/>
        <v/>
      </c>
    </row>
    <row r="5500" spans="1:2">
      <c r="A5500" s="262" t="str">
        <f t="shared" si="14"/>
        <v/>
      </c>
      <c r="B5500" s="262" t="str">
        <f t="shared" si="15"/>
        <v/>
      </c>
    </row>
    <row r="5501" spans="1:2">
      <c r="A5501" s="262" t="str">
        <f t="shared" ref="A5501:A5564" si="16">HYPERLINK("http://tw.stock.yahoo.com/q/ta?s=","")</f>
        <v/>
      </c>
      <c r="B5501" s="262" t="str">
        <f t="shared" ref="B5501:B5564" si="17">HYPERLINK("http://tw.stock.yahoo.com/d/s/earning_.html","")</f>
        <v/>
      </c>
    </row>
    <row r="5502" spans="1:2">
      <c r="A5502" s="262" t="str">
        <f t="shared" si="16"/>
        <v/>
      </c>
      <c r="B5502" s="262" t="str">
        <f t="shared" si="17"/>
        <v/>
      </c>
    </row>
    <row r="5503" spans="1:2">
      <c r="A5503" s="262" t="str">
        <f t="shared" si="16"/>
        <v/>
      </c>
      <c r="B5503" s="262" t="str">
        <f t="shared" si="17"/>
        <v/>
      </c>
    </row>
    <row r="5504" spans="1:2">
      <c r="A5504" s="262" t="str">
        <f t="shared" si="16"/>
        <v/>
      </c>
      <c r="B5504" s="262" t="str">
        <f t="shared" si="17"/>
        <v/>
      </c>
    </row>
    <row r="5505" spans="1:2">
      <c r="A5505" s="262" t="str">
        <f t="shared" si="16"/>
        <v/>
      </c>
      <c r="B5505" s="262" t="str">
        <f t="shared" si="17"/>
        <v/>
      </c>
    </row>
    <row r="5506" spans="1:2">
      <c r="A5506" s="262" t="str">
        <f t="shared" si="16"/>
        <v/>
      </c>
      <c r="B5506" s="262" t="str">
        <f t="shared" si="17"/>
        <v/>
      </c>
    </row>
    <row r="5507" spans="1:2">
      <c r="A5507" s="262" t="str">
        <f t="shared" si="16"/>
        <v/>
      </c>
      <c r="B5507" s="262" t="str">
        <f t="shared" si="17"/>
        <v/>
      </c>
    </row>
    <row r="5508" spans="1:2">
      <c r="A5508" s="262" t="str">
        <f t="shared" si="16"/>
        <v/>
      </c>
      <c r="B5508" s="262" t="str">
        <f t="shared" si="17"/>
        <v/>
      </c>
    </row>
    <row r="5509" spans="1:2">
      <c r="A5509" s="262" t="str">
        <f t="shared" si="16"/>
        <v/>
      </c>
      <c r="B5509" s="262" t="str">
        <f t="shared" si="17"/>
        <v/>
      </c>
    </row>
    <row r="5510" spans="1:2">
      <c r="A5510" s="262" t="str">
        <f t="shared" si="16"/>
        <v/>
      </c>
      <c r="B5510" s="262" t="str">
        <f t="shared" si="17"/>
        <v/>
      </c>
    </row>
    <row r="5511" spans="1:2">
      <c r="A5511" s="262" t="str">
        <f t="shared" si="16"/>
        <v/>
      </c>
      <c r="B5511" s="262" t="str">
        <f t="shared" si="17"/>
        <v/>
      </c>
    </row>
    <row r="5512" spans="1:2">
      <c r="A5512" s="262" t="str">
        <f t="shared" si="16"/>
        <v/>
      </c>
      <c r="B5512" s="262" t="str">
        <f t="shared" si="17"/>
        <v/>
      </c>
    </row>
    <row r="5513" spans="1:2">
      <c r="A5513" s="262" t="str">
        <f t="shared" si="16"/>
        <v/>
      </c>
      <c r="B5513" s="262" t="str">
        <f t="shared" si="17"/>
        <v/>
      </c>
    </row>
    <row r="5514" spans="1:2">
      <c r="A5514" s="262" t="str">
        <f t="shared" si="16"/>
        <v/>
      </c>
      <c r="B5514" s="262" t="str">
        <f t="shared" si="17"/>
        <v/>
      </c>
    </row>
    <row r="5515" spans="1:2">
      <c r="A5515" s="262" t="str">
        <f t="shared" si="16"/>
        <v/>
      </c>
      <c r="B5515" s="262" t="str">
        <f t="shared" si="17"/>
        <v/>
      </c>
    </row>
    <row r="5516" spans="1:2">
      <c r="A5516" s="262" t="str">
        <f t="shared" si="16"/>
        <v/>
      </c>
      <c r="B5516" s="262" t="str">
        <f t="shared" si="17"/>
        <v/>
      </c>
    </row>
    <row r="5517" spans="1:2">
      <c r="A5517" s="262" t="str">
        <f t="shared" si="16"/>
        <v/>
      </c>
      <c r="B5517" s="262" t="str">
        <f t="shared" si="17"/>
        <v/>
      </c>
    </row>
    <row r="5518" spans="1:2">
      <c r="A5518" s="262" t="str">
        <f t="shared" si="16"/>
        <v/>
      </c>
      <c r="B5518" s="262" t="str">
        <f t="shared" si="17"/>
        <v/>
      </c>
    </row>
    <row r="5519" spans="1:2">
      <c r="A5519" s="262" t="str">
        <f t="shared" si="16"/>
        <v/>
      </c>
      <c r="B5519" s="262" t="str">
        <f t="shared" si="17"/>
        <v/>
      </c>
    </row>
    <row r="5520" spans="1:2">
      <c r="A5520" s="262" t="str">
        <f t="shared" si="16"/>
        <v/>
      </c>
      <c r="B5520" s="262" t="str">
        <f t="shared" si="17"/>
        <v/>
      </c>
    </row>
    <row r="5521" spans="1:2">
      <c r="A5521" s="262" t="str">
        <f t="shared" si="16"/>
        <v/>
      </c>
      <c r="B5521" s="262" t="str">
        <f t="shared" si="17"/>
        <v/>
      </c>
    </row>
    <row r="5522" spans="1:2">
      <c r="A5522" s="262" t="str">
        <f t="shared" si="16"/>
        <v/>
      </c>
      <c r="B5522" s="262" t="str">
        <f t="shared" si="17"/>
        <v/>
      </c>
    </row>
    <row r="5523" spans="1:2">
      <c r="A5523" s="262" t="str">
        <f t="shared" si="16"/>
        <v/>
      </c>
      <c r="B5523" s="262" t="str">
        <f t="shared" si="17"/>
        <v/>
      </c>
    </row>
    <row r="5524" spans="1:2">
      <c r="A5524" s="262" t="str">
        <f t="shared" si="16"/>
        <v/>
      </c>
      <c r="B5524" s="262" t="str">
        <f t="shared" si="17"/>
        <v/>
      </c>
    </row>
    <row r="5525" spans="1:2">
      <c r="A5525" s="262" t="str">
        <f t="shared" si="16"/>
        <v/>
      </c>
      <c r="B5525" s="262" t="str">
        <f t="shared" si="17"/>
        <v/>
      </c>
    </row>
    <row r="5526" spans="1:2">
      <c r="A5526" s="262" t="str">
        <f t="shared" si="16"/>
        <v/>
      </c>
      <c r="B5526" s="262" t="str">
        <f t="shared" si="17"/>
        <v/>
      </c>
    </row>
    <row r="5527" spans="1:2">
      <c r="A5527" s="262" t="str">
        <f t="shared" si="16"/>
        <v/>
      </c>
      <c r="B5527" s="262" t="str">
        <f t="shared" si="17"/>
        <v/>
      </c>
    </row>
    <row r="5528" spans="1:2">
      <c r="A5528" s="262" t="str">
        <f t="shared" si="16"/>
        <v/>
      </c>
      <c r="B5528" s="262" t="str">
        <f t="shared" si="17"/>
        <v/>
      </c>
    </row>
    <row r="5529" spans="1:2">
      <c r="A5529" s="262" t="str">
        <f t="shared" si="16"/>
        <v/>
      </c>
      <c r="B5529" s="262" t="str">
        <f t="shared" si="17"/>
        <v/>
      </c>
    </row>
    <row r="5530" spans="1:2">
      <c r="A5530" s="262" t="str">
        <f t="shared" si="16"/>
        <v/>
      </c>
      <c r="B5530" s="262" t="str">
        <f t="shared" si="17"/>
        <v/>
      </c>
    </row>
    <row r="5531" spans="1:2">
      <c r="A5531" s="262" t="str">
        <f t="shared" si="16"/>
        <v/>
      </c>
      <c r="B5531" s="262" t="str">
        <f t="shared" si="17"/>
        <v/>
      </c>
    </row>
    <row r="5532" spans="1:2">
      <c r="A5532" s="262" t="str">
        <f t="shared" si="16"/>
        <v/>
      </c>
      <c r="B5532" s="262" t="str">
        <f t="shared" si="17"/>
        <v/>
      </c>
    </row>
    <row r="5533" spans="1:2">
      <c r="A5533" s="262" t="str">
        <f t="shared" si="16"/>
        <v/>
      </c>
      <c r="B5533" s="262" t="str">
        <f t="shared" si="17"/>
        <v/>
      </c>
    </row>
    <row r="5534" spans="1:2">
      <c r="A5534" s="262" t="str">
        <f t="shared" si="16"/>
        <v/>
      </c>
      <c r="B5534" s="262" t="str">
        <f t="shared" si="17"/>
        <v/>
      </c>
    </row>
    <row r="5535" spans="1:2">
      <c r="A5535" s="262" t="str">
        <f t="shared" si="16"/>
        <v/>
      </c>
      <c r="B5535" s="262" t="str">
        <f t="shared" si="17"/>
        <v/>
      </c>
    </row>
    <row r="5536" spans="1:2">
      <c r="A5536" s="262" t="str">
        <f t="shared" si="16"/>
        <v/>
      </c>
      <c r="B5536" s="262" t="str">
        <f t="shared" si="17"/>
        <v/>
      </c>
    </row>
    <row r="5537" spans="1:2">
      <c r="A5537" s="262" t="str">
        <f t="shared" si="16"/>
        <v/>
      </c>
      <c r="B5537" s="262" t="str">
        <f t="shared" si="17"/>
        <v/>
      </c>
    </row>
    <row r="5538" spans="1:2">
      <c r="A5538" s="262" t="str">
        <f t="shared" si="16"/>
        <v/>
      </c>
      <c r="B5538" s="262" t="str">
        <f t="shared" si="17"/>
        <v/>
      </c>
    </row>
    <row r="5539" spans="1:2">
      <c r="A5539" s="262" t="str">
        <f t="shared" si="16"/>
        <v/>
      </c>
      <c r="B5539" s="262" t="str">
        <f t="shared" si="17"/>
        <v/>
      </c>
    </row>
    <row r="5540" spans="1:2">
      <c r="A5540" s="262" t="str">
        <f t="shared" si="16"/>
        <v/>
      </c>
      <c r="B5540" s="262" t="str">
        <f t="shared" si="17"/>
        <v/>
      </c>
    </row>
    <row r="5541" spans="1:2">
      <c r="A5541" s="262" t="str">
        <f t="shared" si="16"/>
        <v/>
      </c>
      <c r="B5541" s="262" t="str">
        <f t="shared" si="17"/>
        <v/>
      </c>
    </row>
    <row r="5542" spans="1:2">
      <c r="A5542" s="262" t="str">
        <f t="shared" si="16"/>
        <v/>
      </c>
      <c r="B5542" s="262" t="str">
        <f t="shared" si="17"/>
        <v/>
      </c>
    </row>
    <row r="5543" spans="1:2">
      <c r="A5543" s="262" t="str">
        <f t="shared" si="16"/>
        <v/>
      </c>
      <c r="B5543" s="262" t="str">
        <f t="shared" si="17"/>
        <v/>
      </c>
    </row>
    <row r="5544" spans="1:2">
      <c r="A5544" s="262" t="str">
        <f t="shared" si="16"/>
        <v/>
      </c>
      <c r="B5544" s="262" t="str">
        <f t="shared" si="17"/>
        <v/>
      </c>
    </row>
    <row r="5545" spans="1:2">
      <c r="A5545" s="262" t="str">
        <f t="shared" si="16"/>
        <v/>
      </c>
      <c r="B5545" s="262" t="str">
        <f t="shared" si="17"/>
        <v/>
      </c>
    </row>
    <row r="5546" spans="1:2">
      <c r="A5546" s="262" t="str">
        <f t="shared" si="16"/>
        <v/>
      </c>
      <c r="B5546" s="262" t="str">
        <f t="shared" si="17"/>
        <v/>
      </c>
    </row>
    <row r="5547" spans="1:2">
      <c r="A5547" s="262" t="str">
        <f t="shared" si="16"/>
        <v/>
      </c>
      <c r="B5547" s="262" t="str">
        <f t="shared" si="17"/>
        <v/>
      </c>
    </row>
    <row r="5548" spans="1:2">
      <c r="A5548" s="262" t="str">
        <f t="shared" si="16"/>
        <v/>
      </c>
      <c r="B5548" s="262" t="str">
        <f t="shared" si="17"/>
        <v/>
      </c>
    </row>
    <row r="5549" spans="1:2">
      <c r="A5549" s="262" t="str">
        <f t="shared" si="16"/>
        <v/>
      </c>
      <c r="B5549" s="262" t="str">
        <f t="shared" si="17"/>
        <v/>
      </c>
    </row>
    <row r="5550" spans="1:2">
      <c r="A5550" s="262" t="str">
        <f t="shared" si="16"/>
        <v/>
      </c>
      <c r="B5550" s="262" t="str">
        <f t="shared" si="17"/>
        <v/>
      </c>
    </row>
    <row r="5551" spans="1:2">
      <c r="A5551" s="262" t="str">
        <f t="shared" si="16"/>
        <v/>
      </c>
      <c r="B5551" s="262" t="str">
        <f t="shared" si="17"/>
        <v/>
      </c>
    </row>
    <row r="5552" spans="1:2">
      <c r="A5552" s="262" t="str">
        <f t="shared" si="16"/>
        <v/>
      </c>
      <c r="B5552" s="262" t="str">
        <f t="shared" si="17"/>
        <v/>
      </c>
    </row>
    <row r="5553" spans="1:2">
      <c r="A5553" s="262" t="str">
        <f t="shared" si="16"/>
        <v/>
      </c>
      <c r="B5553" s="262" t="str">
        <f t="shared" si="17"/>
        <v/>
      </c>
    </row>
    <row r="5554" spans="1:2">
      <c r="A5554" s="262" t="str">
        <f t="shared" si="16"/>
        <v/>
      </c>
      <c r="B5554" s="262" t="str">
        <f t="shared" si="17"/>
        <v/>
      </c>
    </row>
    <row r="5555" spans="1:2">
      <c r="A5555" s="262" t="str">
        <f t="shared" si="16"/>
        <v/>
      </c>
      <c r="B5555" s="262" t="str">
        <f t="shared" si="17"/>
        <v/>
      </c>
    </row>
    <row r="5556" spans="1:2">
      <c r="A5556" s="262" t="str">
        <f t="shared" si="16"/>
        <v/>
      </c>
      <c r="B5556" s="262" t="str">
        <f t="shared" si="17"/>
        <v/>
      </c>
    </row>
    <row r="5557" spans="1:2">
      <c r="A5557" s="262" t="str">
        <f t="shared" si="16"/>
        <v/>
      </c>
      <c r="B5557" s="262" t="str">
        <f t="shared" si="17"/>
        <v/>
      </c>
    </row>
    <row r="5558" spans="1:2">
      <c r="A5558" s="262" t="str">
        <f t="shared" si="16"/>
        <v/>
      </c>
      <c r="B5558" s="262" t="str">
        <f t="shared" si="17"/>
        <v/>
      </c>
    </row>
    <row r="5559" spans="1:2">
      <c r="A5559" s="262" t="str">
        <f t="shared" si="16"/>
        <v/>
      </c>
      <c r="B5559" s="262" t="str">
        <f t="shared" si="17"/>
        <v/>
      </c>
    </row>
    <row r="5560" spans="1:2">
      <c r="A5560" s="262" t="str">
        <f t="shared" si="16"/>
        <v/>
      </c>
      <c r="B5560" s="262" t="str">
        <f t="shared" si="17"/>
        <v/>
      </c>
    </row>
    <row r="5561" spans="1:2">
      <c r="A5561" s="262" t="str">
        <f t="shared" si="16"/>
        <v/>
      </c>
      <c r="B5561" s="262" t="str">
        <f t="shared" si="17"/>
        <v/>
      </c>
    </row>
    <row r="5562" spans="1:2">
      <c r="A5562" s="262" t="str">
        <f t="shared" si="16"/>
        <v/>
      </c>
      <c r="B5562" s="262" t="str">
        <f t="shared" si="17"/>
        <v/>
      </c>
    </row>
    <row r="5563" spans="1:2">
      <c r="A5563" s="262" t="str">
        <f t="shared" si="16"/>
        <v/>
      </c>
      <c r="B5563" s="262" t="str">
        <f t="shared" si="17"/>
        <v/>
      </c>
    </row>
    <row r="5564" spans="1:2">
      <c r="A5564" s="262" t="str">
        <f t="shared" si="16"/>
        <v/>
      </c>
      <c r="B5564" s="262" t="str">
        <f t="shared" si="17"/>
        <v/>
      </c>
    </row>
    <row r="5565" spans="1:2">
      <c r="A5565" s="262" t="str">
        <f t="shared" ref="A5565:A5628" si="18">HYPERLINK("http://tw.stock.yahoo.com/q/ta?s=","")</f>
        <v/>
      </c>
      <c r="B5565" s="262" t="str">
        <f t="shared" ref="B5565:B5628" si="19">HYPERLINK("http://tw.stock.yahoo.com/d/s/earning_.html","")</f>
        <v/>
      </c>
    </row>
    <row r="5566" spans="1:2">
      <c r="A5566" s="262" t="str">
        <f t="shared" si="18"/>
        <v/>
      </c>
      <c r="B5566" s="262" t="str">
        <f t="shared" si="19"/>
        <v/>
      </c>
    </row>
    <row r="5567" spans="1:2">
      <c r="A5567" s="262" t="str">
        <f t="shared" si="18"/>
        <v/>
      </c>
      <c r="B5567" s="262" t="str">
        <f t="shared" si="19"/>
        <v/>
      </c>
    </row>
    <row r="5568" spans="1:2">
      <c r="A5568" s="262" t="str">
        <f t="shared" si="18"/>
        <v/>
      </c>
      <c r="B5568" s="262" t="str">
        <f t="shared" si="19"/>
        <v/>
      </c>
    </row>
    <row r="5569" spans="1:2">
      <c r="A5569" s="262" t="str">
        <f t="shared" si="18"/>
        <v/>
      </c>
      <c r="B5569" s="262" t="str">
        <f t="shared" si="19"/>
        <v/>
      </c>
    </row>
    <row r="5570" spans="1:2">
      <c r="A5570" s="262" t="str">
        <f t="shared" si="18"/>
        <v/>
      </c>
      <c r="B5570" s="262" t="str">
        <f t="shared" si="19"/>
        <v/>
      </c>
    </row>
    <row r="5571" spans="1:2">
      <c r="A5571" s="262" t="str">
        <f t="shared" si="18"/>
        <v/>
      </c>
      <c r="B5571" s="262" t="str">
        <f t="shared" si="19"/>
        <v/>
      </c>
    </row>
    <row r="5572" spans="1:2">
      <c r="A5572" s="262" t="str">
        <f t="shared" si="18"/>
        <v/>
      </c>
      <c r="B5572" s="262" t="str">
        <f t="shared" si="19"/>
        <v/>
      </c>
    </row>
    <row r="5573" spans="1:2">
      <c r="A5573" s="262" t="str">
        <f t="shared" si="18"/>
        <v/>
      </c>
      <c r="B5573" s="262" t="str">
        <f t="shared" si="19"/>
        <v/>
      </c>
    </row>
    <row r="5574" spans="1:2">
      <c r="A5574" s="262" t="str">
        <f t="shared" si="18"/>
        <v/>
      </c>
      <c r="B5574" s="262" t="str">
        <f t="shared" si="19"/>
        <v/>
      </c>
    </row>
    <row r="5575" spans="1:2">
      <c r="A5575" s="262" t="str">
        <f t="shared" si="18"/>
        <v/>
      </c>
      <c r="B5575" s="262" t="str">
        <f t="shared" si="19"/>
        <v/>
      </c>
    </row>
    <row r="5576" spans="1:2">
      <c r="A5576" s="262" t="str">
        <f t="shared" si="18"/>
        <v/>
      </c>
      <c r="B5576" s="262" t="str">
        <f t="shared" si="19"/>
        <v/>
      </c>
    </row>
    <row r="5577" spans="1:2">
      <c r="A5577" s="262" t="str">
        <f t="shared" si="18"/>
        <v/>
      </c>
      <c r="B5577" s="262" t="str">
        <f t="shared" si="19"/>
        <v/>
      </c>
    </row>
    <row r="5578" spans="1:2">
      <c r="A5578" s="262" t="str">
        <f t="shared" si="18"/>
        <v/>
      </c>
      <c r="B5578" s="262" t="str">
        <f t="shared" si="19"/>
        <v/>
      </c>
    </row>
    <row r="5579" spans="1:2">
      <c r="A5579" s="262" t="str">
        <f t="shared" si="18"/>
        <v/>
      </c>
      <c r="B5579" s="262" t="str">
        <f t="shared" si="19"/>
        <v/>
      </c>
    </row>
    <row r="5580" spans="1:2">
      <c r="A5580" s="262" t="str">
        <f t="shared" si="18"/>
        <v/>
      </c>
      <c r="B5580" s="262" t="str">
        <f t="shared" si="19"/>
        <v/>
      </c>
    </row>
    <row r="5581" spans="1:2">
      <c r="A5581" s="262" t="str">
        <f t="shared" si="18"/>
        <v/>
      </c>
      <c r="B5581" s="262" t="str">
        <f t="shared" si="19"/>
        <v/>
      </c>
    </row>
    <row r="5582" spans="1:2">
      <c r="A5582" s="262" t="str">
        <f t="shared" si="18"/>
        <v/>
      </c>
      <c r="B5582" s="262" t="str">
        <f t="shared" si="19"/>
        <v/>
      </c>
    </row>
    <row r="5583" spans="1:2">
      <c r="A5583" s="262" t="str">
        <f t="shared" si="18"/>
        <v/>
      </c>
      <c r="B5583" s="262" t="str">
        <f t="shared" si="19"/>
        <v/>
      </c>
    </row>
    <row r="5584" spans="1:2">
      <c r="A5584" s="262" t="str">
        <f t="shared" si="18"/>
        <v/>
      </c>
      <c r="B5584" s="262" t="str">
        <f t="shared" si="19"/>
        <v/>
      </c>
    </row>
    <row r="5585" spans="1:2">
      <c r="A5585" s="262" t="str">
        <f t="shared" si="18"/>
        <v/>
      </c>
      <c r="B5585" s="262" t="str">
        <f t="shared" si="19"/>
        <v/>
      </c>
    </row>
    <row r="5586" spans="1:2">
      <c r="A5586" s="262" t="str">
        <f t="shared" si="18"/>
        <v/>
      </c>
      <c r="B5586" s="262" t="str">
        <f t="shared" si="19"/>
        <v/>
      </c>
    </row>
    <row r="5587" spans="1:2">
      <c r="A5587" s="262" t="str">
        <f t="shared" si="18"/>
        <v/>
      </c>
      <c r="B5587" s="262" t="str">
        <f t="shared" si="19"/>
        <v/>
      </c>
    </row>
    <row r="5588" spans="1:2">
      <c r="A5588" s="262" t="str">
        <f t="shared" si="18"/>
        <v/>
      </c>
      <c r="B5588" s="262" t="str">
        <f t="shared" si="19"/>
        <v/>
      </c>
    </row>
    <row r="5589" spans="1:2">
      <c r="A5589" s="262" t="str">
        <f t="shared" si="18"/>
        <v/>
      </c>
      <c r="B5589" s="262" t="str">
        <f t="shared" si="19"/>
        <v/>
      </c>
    </row>
    <row r="5590" spans="1:2">
      <c r="A5590" s="262" t="str">
        <f t="shared" si="18"/>
        <v/>
      </c>
      <c r="B5590" s="262" t="str">
        <f t="shared" si="19"/>
        <v/>
      </c>
    </row>
    <row r="5591" spans="1:2">
      <c r="A5591" s="262" t="str">
        <f t="shared" si="18"/>
        <v/>
      </c>
      <c r="B5591" s="262" t="str">
        <f t="shared" si="19"/>
        <v/>
      </c>
    </row>
    <row r="5592" spans="1:2">
      <c r="A5592" s="262" t="str">
        <f t="shared" si="18"/>
        <v/>
      </c>
      <c r="B5592" s="262" t="str">
        <f t="shared" si="19"/>
        <v/>
      </c>
    </row>
    <row r="5593" spans="1:2">
      <c r="A5593" s="262" t="str">
        <f t="shared" si="18"/>
        <v/>
      </c>
      <c r="B5593" s="262" t="str">
        <f t="shared" si="19"/>
        <v/>
      </c>
    </row>
    <row r="5594" spans="1:2">
      <c r="A5594" s="262" t="str">
        <f t="shared" si="18"/>
        <v/>
      </c>
      <c r="B5594" s="262" t="str">
        <f t="shared" si="19"/>
        <v/>
      </c>
    </row>
    <row r="5595" spans="1:2">
      <c r="A5595" s="262" t="str">
        <f t="shared" si="18"/>
        <v/>
      </c>
      <c r="B5595" s="262" t="str">
        <f t="shared" si="19"/>
        <v/>
      </c>
    </row>
    <row r="5596" spans="1:2">
      <c r="A5596" s="262" t="str">
        <f t="shared" si="18"/>
        <v/>
      </c>
      <c r="B5596" s="262" t="str">
        <f t="shared" si="19"/>
        <v/>
      </c>
    </row>
    <row r="5597" spans="1:2">
      <c r="A5597" s="262" t="str">
        <f t="shared" si="18"/>
        <v/>
      </c>
      <c r="B5597" s="262" t="str">
        <f t="shared" si="19"/>
        <v/>
      </c>
    </row>
    <row r="5598" spans="1:2">
      <c r="A5598" s="262" t="str">
        <f t="shared" si="18"/>
        <v/>
      </c>
      <c r="B5598" s="262" t="str">
        <f t="shared" si="19"/>
        <v/>
      </c>
    </row>
    <row r="5599" spans="1:2">
      <c r="A5599" s="262" t="str">
        <f t="shared" si="18"/>
        <v/>
      </c>
      <c r="B5599" s="262" t="str">
        <f t="shared" si="19"/>
        <v/>
      </c>
    </row>
    <row r="5600" spans="1:2">
      <c r="A5600" s="262" t="str">
        <f t="shared" si="18"/>
        <v/>
      </c>
      <c r="B5600" s="262" t="str">
        <f t="shared" si="19"/>
        <v/>
      </c>
    </row>
    <row r="5601" spans="1:2">
      <c r="A5601" s="262" t="str">
        <f t="shared" si="18"/>
        <v/>
      </c>
      <c r="B5601" s="262" t="str">
        <f t="shared" si="19"/>
        <v/>
      </c>
    </row>
    <row r="5602" spans="1:2">
      <c r="A5602" s="262" t="str">
        <f t="shared" si="18"/>
        <v/>
      </c>
      <c r="B5602" s="262" t="str">
        <f t="shared" si="19"/>
        <v/>
      </c>
    </row>
    <row r="5603" spans="1:2">
      <c r="A5603" s="262" t="str">
        <f t="shared" si="18"/>
        <v/>
      </c>
      <c r="B5603" s="262" t="str">
        <f t="shared" si="19"/>
        <v/>
      </c>
    </row>
    <row r="5604" spans="1:2">
      <c r="A5604" s="262" t="str">
        <f t="shared" si="18"/>
        <v/>
      </c>
      <c r="B5604" s="262" t="str">
        <f t="shared" si="19"/>
        <v/>
      </c>
    </row>
    <row r="5605" spans="1:2">
      <c r="A5605" s="262" t="str">
        <f t="shared" si="18"/>
        <v/>
      </c>
      <c r="B5605" s="262" t="str">
        <f t="shared" si="19"/>
        <v/>
      </c>
    </row>
    <row r="5606" spans="1:2">
      <c r="A5606" s="262" t="str">
        <f t="shared" si="18"/>
        <v/>
      </c>
      <c r="B5606" s="262" t="str">
        <f t="shared" si="19"/>
        <v/>
      </c>
    </row>
    <row r="5607" spans="1:2">
      <c r="A5607" s="262" t="str">
        <f t="shared" si="18"/>
        <v/>
      </c>
      <c r="B5607" s="262" t="str">
        <f t="shared" si="19"/>
        <v/>
      </c>
    </row>
    <row r="5608" spans="1:2">
      <c r="A5608" s="262" t="str">
        <f t="shared" si="18"/>
        <v/>
      </c>
      <c r="B5608" s="262" t="str">
        <f t="shared" si="19"/>
        <v/>
      </c>
    </row>
    <row r="5609" spans="1:2">
      <c r="A5609" s="262" t="str">
        <f t="shared" si="18"/>
        <v/>
      </c>
      <c r="B5609" s="262" t="str">
        <f t="shared" si="19"/>
        <v/>
      </c>
    </row>
    <row r="5610" spans="1:2">
      <c r="A5610" s="262" t="str">
        <f t="shared" si="18"/>
        <v/>
      </c>
      <c r="B5610" s="262" t="str">
        <f t="shared" si="19"/>
        <v/>
      </c>
    </row>
    <row r="5611" spans="1:2">
      <c r="A5611" s="262" t="str">
        <f t="shared" si="18"/>
        <v/>
      </c>
      <c r="B5611" s="262" t="str">
        <f t="shared" si="19"/>
        <v/>
      </c>
    </row>
    <row r="5612" spans="1:2">
      <c r="A5612" s="262" t="str">
        <f t="shared" si="18"/>
        <v/>
      </c>
      <c r="B5612" s="262" t="str">
        <f t="shared" si="19"/>
        <v/>
      </c>
    </row>
    <row r="5613" spans="1:2">
      <c r="A5613" s="262" t="str">
        <f t="shared" si="18"/>
        <v/>
      </c>
      <c r="B5613" s="262" t="str">
        <f t="shared" si="19"/>
        <v/>
      </c>
    </row>
    <row r="5614" spans="1:2">
      <c r="A5614" s="262" t="str">
        <f t="shared" si="18"/>
        <v/>
      </c>
      <c r="B5614" s="262" t="str">
        <f t="shared" si="19"/>
        <v/>
      </c>
    </row>
    <row r="5615" spans="1:2">
      <c r="A5615" s="262" t="str">
        <f t="shared" si="18"/>
        <v/>
      </c>
      <c r="B5615" s="262" t="str">
        <f t="shared" si="19"/>
        <v/>
      </c>
    </row>
    <row r="5616" spans="1:2">
      <c r="A5616" s="262" t="str">
        <f t="shared" si="18"/>
        <v/>
      </c>
      <c r="B5616" s="262" t="str">
        <f t="shared" si="19"/>
        <v/>
      </c>
    </row>
    <row r="5617" spans="1:2">
      <c r="A5617" s="262" t="str">
        <f t="shared" si="18"/>
        <v/>
      </c>
      <c r="B5617" s="262" t="str">
        <f t="shared" si="19"/>
        <v/>
      </c>
    </row>
    <row r="5618" spans="1:2">
      <c r="A5618" s="262" t="str">
        <f t="shared" si="18"/>
        <v/>
      </c>
      <c r="B5618" s="262" t="str">
        <f t="shared" si="19"/>
        <v/>
      </c>
    </row>
    <row r="5619" spans="1:2">
      <c r="A5619" s="262" t="str">
        <f t="shared" si="18"/>
        <v/>
      </c>
      <c r="B5619" s="262" t="str">
        <f t="shared" si="19"/>
        <v/>
      </c>
    </row>
    <row r="5620" spans="1:2">
      <c r="A5620" s="262" t="str">
        <f t="shared" si="18"/>
        <v/>
      </c>
      <c r="B5620" s="262" t="str">
        <f t="shared" si="19"/>
        <v/>
      </c>
    </row>
    <row r="5621" spans="1:2">
      <c r="A5621" s="262" t="str">
        <f t="shared" si="18"/>
        <v/>
      </c>
      <c r="B5621" s="262" t="str">
        <f t="shared" si="19"/>
        <v/>
      </c>
    </row>
    <row r="5622" spans="1:2">
      <c r="A5622" s="262" t="str">
        <f t="shared" si="18"/>
        <v/>
      </c>
      <c r="B5622" s="262" t="str">
        <f t="shared" si="19"/>
        <v/>
      </c>
    </row>
    <row r="5623" spans="1:2">
      <c r="A5623" s="262" t="str">
        <f t="shared" si="18"/>
        <v/>
      </c>
      <c r="B5623" s="262" t="str">
        <f t="shared" si="19"/>
        <v/>
      </c>
    </row>
    <row r="5624" spans="1:2">
      <c r="A5624" s="262" t="str">
        <f t="shared" si="18"/>
        <v/>
      </c>
      <c r="B5624" s="262" t="str">
        <f t="shared" si="19"/>
        <v/>
      </c>
    </row>
    <row r="5625" spans="1:2">
      <c r="A5625" s="262" t="str">
        <f t="shared" si="18"/>
        <v/>
      </c>
      <c r="B5625" s="262" t="str">
        <f t="shared" si="19"/>
        <v/>
      </c>
    </row>
    <row r="5626" spans="1:2">
      <c r="A5626" s="262" t="str">
        <f t="shared" si="18"/>
        <v/>
      </c>
      <c r="B5626" s="262" t="str">
        <f t="shared" si="19"/>
        <v/>
      </c>
    </row>
    <row r="5627" spans="1:2">
      <c r="A5627" s="262" t="str">
        <f t="shared" si="18"/>
        <v/>
      </c>
      <c r="B5627" s="262" t="str">
        <f t="shared" si="19"/>
        <v/>
      </c>
    </row>
    <row r="5628" spans="1:2">
      <c r="A5628" s="262" t="str">
        <f t="shared" si="18"/>
        <v/>
      </c>
      <c r="B5628" s="262" t="str">
        <f t="shared" si="19"/>
        <v/>
      </c>
    </row>
    <row r="5629" spans="1:2">
      <c r="A5629" s="262" t="str">
        <f t="shared" ref="A5629:A5692" si="20">HYPERLINK("http://tw.stock.yahoo.com/q/ta?s=","")</f>
        <v/>
      </c>
      <c r="B5629" s="262" t="str">
        <f t="shared" ref="B5629:B5692" si="21">HYPERLINK("http://tw.stock.yahoo.com/d/s/earning_.html","")</f>
        <v/>
      </c>
    </row>
    <row r="5630" spans="1:2">
      <c r="A5630" s="262" t="str">
        <f t="shared" si="20"/>
        <v/>
      </c>
      <c r="B5630" s="262" t="str">
        <f t="shared" si="21"/>
        <v/>
      </c>
    </row>
    <row r="5631" spans="1:2">
      <c r="A5631" s="262" t="str">
        <f t="shared" si="20"/>
        <v/>
      </c>
      <c r="B5631" s="262" t="str">
        <f t="shared" si="21"/>
        <v/>
      </c>
    </row>
    <row r="5632" spans="1:2">
      <c r="A5632" s="262" t="str">
        <f t="shared" si="20"/>
        <v/>
      </c>
      <c r="B5632" s="262" t="str">
        <f t="shared" si="21"/>
        <v/>
      </c>
    </row>
    <row r="5633" spans="1:2">
      <c r="A5633" s="262" t="str">
        <f t="shared" si="20"/>
        <v/>
      </c>
      <c r="B5633" s="262" t="str">
        <f t="shared" si="21"/>
        <v/>
      </c>
    </row>
    <row r="5634" spans="1:2">
      <c r="A5634" s="262" t="str">
        <f t="shared" si="20"/>
        <v/>
      </c>
      <c r="B5634" s="262" t="str">
        <f t="shared" si="21"/>
        <v/>
      </c>
    </row>
    <row r="5635" spans="1:2">
      <c r="A5635" s="262" t="str">
        <f t="shared" si="20"/>
        <v/>
      </c>
      <c r="B5635" s="262" t="str">
        <f t="shared" si="21"/>
        <v/>
      </c>
    </row>
    <row r="5636" spans="1:2">
      <c r="A5636" s="262" t="str">
        <f t="shared" si="20"/>
        <v/>
      </c>
      <c r="B5636" s="262" t="str">
        <f t="shared" si="21"/>
        <v/>
      </c>
    </row>
    <row r="5637" spans="1:2">
      <c r="A5637" s="262" t="str">
        <f t="shared" si="20"/>
        <v/>
      </c>
      <c r="B5637" s="262" t="str">
        <f t="shared" si="21"/>
        <v/>
      </c>
    </row>
    <row r="5638" spans="1:2">
      <c r="A5638" s="262" t="str">
        <f t="shared" si="20"/>
        <v/>
      </c>
      <c r="B5638" s="262" t="str">
        <f t="shared" si="21"/>
        <v/>
      </c>
    </row>
    <row r="5639" spans="1:2">
      <c r="A5639" s="262" t="str">
        <f t="shared" si="20"/>
        <v/>
      </c>
      <c r="B5639" s="262" t="str">
        <f t="shared" si="21"/>
        <v/>
      </c>
    </row>
    <row r="5640" spans="1:2">
      <c r="A5640" s="262" t="str">
        <f t="shared" si="20"/>
        <v/>
      </c>
      <c r="B5640" s="262" t="str">
        <f t="shared" si="21"/>
        <v/>
      </c>
    </row>
    <row r="5641" spans="1:2">
      <c r="A5641" s="262" t="str">
        <f t="shared" si="20"/>
        <v/>
      </c>
      <c r="B5641" s="262" t="str">
        <f t="shared" si="21"/>
        <v/>
      </c>
    </row>
    <row r="5642" spans="1:2">
      <c r="A5642" s="262" t="str">
        <f t="shared" si="20"/>
        <v/>
      </c>
      <c r="B5642" s="262" t="str">
        <f t="shared" si="21"/>
        <v/>
      </c>
    </row>
    <row r="5643" spans="1:2">
      <c r="A5643" s="262" t="str">
        <f t="shared" si="20"/>
        <v/>
      </c>
      <c r="B5643" s="262" t="str">
        <f t="shared" si="21"/>
        <v/>
      </c>
    </row>
    <row r="5644" spans="1:2">
      <c r="A5644" s="262" t="str">
        <f t="shared" si="20"/>
        <v/>
      </c>
      <c r="B5644" s="262" t="str">
        <f t="shared" si="21"/>
        <v/>
      </c>
    </row>
    <row r="5645" spans="1:2">
      <c r="A5645" s="262" t="str">
        <f t="shared" si="20"/>
        <v/>
      </c>
      <c r="B5645" s="262" t="str">
        <f t="shared" si="21"/>
        <v/>
      </c>
    </row>
    <row r="5646" spans="1:2">
      <c r="A5646" s="262" t="str">
        <f t="shared" si="20"/>
        <v/>
      </c>
      <c r="B5646" s="262" t="str">
        <f t="shared" si="21"/>
        <v/>
      </c>
    </row>
    <row r="5647" spans="1:2">
      <c r="A5647" s="262" t="str">
        <f t="shared" si="20"/>
        <v/>
      </c>
      <c r="B5647" s="262" t="str">
        <f t="shared" si="21"/>
        <v/>
      </c>
    </row>
    <row r="5648" spans="1:2">
      <c r="A5648" s="262" t="str">
        <f t="shared" si="20"/>
        <v/>
      </c>
      <c r="B5648" s="262" t="str">
        <f t="shared" si="21"/>
        <v/>
      </c>
    </row>
    <row r="5649" spans="1:2">
      <c r="A5649" s="262" t="str">
        <f t="shared" si="20"/>
        <v/>
      </c>
      <c r="B5649" s="262" t="str">
        <f t="shared" si="21"/>
        <v/>
      </c>
    </row>
    <row r="5650" spans="1:2">
      <c r="A5650" s="262" t="str">
        <f t="shared" si="20"/>
        <v/>
      </c>
      <c r="B5650" s="262" t="str">
        <f t="shared" si="21"/>
        <v/>
      </c>
    </row>
    <row r="5651" spans="1:2">
      <c r="A5651" s="262" t="str">
        <f t="shared" si="20"/>
        <v/>
      </c>
      <c r="B5651" s="262" t="str">
        <f t="shared" si="21"/>
        <v/>
      </c>
    </row>
    <row r="5652" spans="1:2">
      <c r="A5652" s="262" t="str">
        <f t="shared" si="20"/>
        <v/>
      </c>
      <c r="B5652" s="262" t="str">
        <f t="shared" si="21"/>
        <v/>
      </c>
    </row>
    <row r="5653" spans="1:2">
      <c r="A5653" s="262" t="str">
        <f t="shared" si="20"/>
        <v/>
      </c>
      <c r="B5653" s="262" t="str">
        <f t="shared" si="21"/>
        <v/>
      </c>
    </row>
    <row r="5654" spans="1:2">
      <c r="A5654" s="262" t="str">
        <f t="shared" si="20"/>
        <v/>
      </c>
      <c r="B5654" s="262" t="str">
        <f t="shared" si="21"/>
        <v/>
      </c>
    </row>
    <row r="5655" spans="1:2">
      <c r="A5655" s="262" t="str">
        <f t="shared" si="20"/>
        <v/>
      </c>
      <c r="B5655" s="262" t="str">
        <f t="shared" si="21"/>
        <v/>
      </c>
    </row>
    <row r="5656" spans="1:2">
      <c r="A5656" s="262" t="str">
        <f t="shared" si="20"/>
        <v/>
      </c>
      <c r="B5656" s="262" t="str">
        <f t="shared" si="21"/>
        <v/>
      </c>
    </row>
    <row r="5657" spans="1:2">
      <c r="A5657" s="262" t="str">
        <f t="shared" si="20"/>
        <v/>
      </c>
      <c r="B5657" s="262" t="str">
        <f t="shared" si="21"/>
        <v/>
      </c>
    </row>
    <row r="5658" spans="1:2">
      <c r="A5658" s="262" t="str">
        <f t="shared" si="20"/>
        <v/>
      </c>
      <c r="B5658" s="262" t="str">
        <f t="shared" si="21"/>
        <v/>
      </c>
    </row>
    <row r="5659" spans="1:2">
      <c r="A5659" s="262" t="str">
        <f t="shared" si="20"/>
        <v/>
      </c>
      <c r="B5659" s="262" t="str">
        <f t="shared" si="21"/>
        <v/>
      </c>
    </row>
    <row r="5660" spans="1:2">
      <c r="A5660" s="262" t="str">
        <f t="shared" si="20"/>
        <v/>
      </c>
      <c r="B5660" s="262" t="str">
        <f t="shared" si="21"/>
        <v/>
      </c>
    </row>
    <row r="5661" spans="1:2">
      <c r="A5661" s="262" t="str">
        <f t="shared" si="20"/>
        <v/>
      </c>
      <c r="B5661" s="262" t="str">
        <f t="shared" si="21"/>
        <v/>
      </c>
    </row>
    <row r="5662" spans="1:2">
      <c r="A5662" s="262" t="str">
        <f t="shared" si="20"/>
        <v/>
      </c>
      <c r="B5662" s="262" t="str">
        <f t="shared" si="21"/>
        <v/>
      </c>
    </row>
    <row r="5663" spans="1:2">
      <c r="A5663" s="262" t="str">
        <f t="shared" si="20"/>
        <v/>
      </c>
      <c r="B5663" s="262" t="str">
        <f t="shared" si="21"/>
        <v/>
      </c>
    </row>
    <row r="5664" spans="1:2">
      <c r="A5664" s="262" t="str">
        <f t="shared" si="20"/>
        <v/>
      </c>
      <c r="B5664" s="262" t="str">
        <f t="shared" si="21"/>
        <v/>
      </c>
    </row>
    <row r="5665" spans="1:2">
      <c r="A5665" s="262" t="str">
        <f t="shared" si="20"/>
        <v/>
      </c>
      <c r="B5665" s="262" t="str">
        <f t="shared" si="21"/>
        <v/>
      </c>
    </row>
    <row r="5666" spans="1:2">
      <c r="A5666" s="262" t="str">
        <f t="shared" si="20"/>
        <v/>
      </c>
      <c r="B5666" s="262" t="str">
        <f t="shared" si="21"/>
        <v/>
      </c>
    </row>
    <row r="5667" spans="1:2">
      <c r="A5667" s="262" t="str">
        <f t="shared" si="20"/>
        <v/>
      </c>
      <c r="B5667" s="262" t="str">
        <f t="shared" si="21"/>
        <v/>
      </c>
    </row>
    <row r="5668" spans="1:2">
      <c r="A5668" s="262" t="str">
        <f t="shared" si="20"/>
        <v/>
      </c>
      <c r="B5668" s="262" t="str">
        <f t="shared" si="21"/>
        <v/>
      </c>
    </row>
    <row r="5669" spans="1:2">
      <c r="A5669" s="262" t="str">
        <f t="shared" si="20"/>
        <v/>
      </c>
      <c r="B5669" s="262" t="str">
        <f t="shared" si="21"/>
        <v/>
      </c>
    </row>
    <row r="5670" spans="1:2">
      <c r="A5670" s="262" t="str">
        <f t="shared" si="20"/>
        <v/>
      </c>
      <c r="B5670" s="262" t="str">
        <f t="shared" si="21"/>
        <v/>
      </c>
    </row>
    <row r="5671" spans="1:2">
      <c r="A5671" s="262" t="str">
        <f t="shared" si="20"/>
        <v/>
      </c>
      <c r="B5671" s="262" t="str">
        <f t="shared" si="21"/>
        <v/>
      </c>
    </row>
    <row r="5672" spans="1:2">
      <c r="A5672" s="262" t="str">
        <f t="shared" si="20"/>
        <v/>
      </c>
      <c r="B5672" s="262" t="str">
        <f t="shared" si="21"/>
        <v/>
      </c>
    </row>
    <row r="5673" spans="1:2">
      <c r="A5673" s="262" t="str">
        <f t="shared" si="20"/>
        <v/>
      </c>
      <c r="B5673" s="262" t="str">
        <f t="shared" si="21"/>
        <v/>
      </c>
    </row>
    <row r="5674" spans="1:2">
      <c r="A5674" s="262" t="str">
        <f t="shared" si="20"/>
        <v/>
      </c>
      <c r="B5674" s="262" t="str">
        <f t="shared" si="21"/>
        <v/>
      </c>
    </row>
    <row r="5675" spans="1:2">
      <c r="A5675" s="262" t="str">
        <f t="shared" si="20"/>
        <v/>
      </c>
      <c r="B5675" s="262" t="str">
        <f t="shared" si="21"/>
        <v/>
      </c>
    </row>
    <row r="5676" spans="1:2">
      <c r="A5676" s="262" t="str">
        <f t="shared" si="20"/>
        <v/>
      </c>
      <c r="B5676" s="262" t="str">
        <f t="shared" si="21"/>
        <v/>
      </c>
    </row>
    <row r="5677" spans="1:2">
      <c r="A5677" s="262" t="str">
        <f t="shared" si="20"/>
        <v/>
      </c>
      <c r="B5677" s="262" t="str">
        <f t="shared" si="21"/>
        <v/>
      </c>
    </row>
    <row r="5678" spans="1:2">
      <c r="A5678" s="262" t="str">
        <f t="shared" si="20"/>
        <v/>
      </c>
      <c r="B5678" s="262" t="str">
        <f t="shared" si="21"/>
        <v/>
      </c>
    </row>
    <row r="5679" spans="1:2">
      <c r="A5679" s="262" t="str">
        <f t="shared" si="20"/>
        <v/>
      </c>
      <c r="B5679" s="262" t="str">
        <f t="shared" si="21"/>
        <v/>
      </c>
    </row>
    <row r="5680" spans="1:2">
      <c r="A5680" s="262" t="str">
        <f t="shared" si="20"/>
        <v/>
      </c>
      <c r="B5680" s="262" t="str">
        <f t="shared" si="21"/>
        <v/>
      </c>
    </row>
    <row r="5681" spans="1:2">
      <c r="A5681" s="262" t="str">
        <f t="shared" si="20"/>
        <v/>
      </c>
      <c r="B5681" s="262" t="str">
        <f t="shared" si="21"/>
        <v/>
      </c>
    </row>
    <row r="5682" spans="1:2">
      <c r="A5682" s="262" t="str">
        <f t="shared" si="20"/>
        <v/>
      </c>
      <c r="B5682" s="262" t="str">
        <f t="shared" si="21"/>
        <v/>
      </c>
    </row>
    <row r="5683" spans="1:2">
      <c r="A5683" s="262" t="str">
        <f t="shared" si="20"/>
        <v/>
      </c>
      <c r="B5683" s="262" t="str">
        <f t="shared" si="21"/>
        <v/>
      </c>
    </row>
    <row r="5684" spans="1:2">
      <c r="A5684" s="262" t="str">
        <f t="shared" si="20"/>
        <v/>
      </c>
      <c r="B5684" s="262" t="str">
        <f t="shared" si="21"/>
        <v/>
      </c>
    </row>
    <row r="5685" spans="1:2">
      <c r="A5685" s="262" t="str">
        <f t="shared" si="20"/>
        <v/>
      </c>
      <c r="B5685" s="262" t="str">
        <f t="shared" si="21"/>
        <v/>
      </c>
    </row>
    <row r="5686" spans="1:2">
      <c r="A5686" s="262" t="str">
        <f t="shared" si="20"/>
        <v/>
      </c>
      <c r="B5686" s="262" t="str">
        <f t="shared" si="21"/>
        <v/>
      </c>
    </row>
    <row r="5687" spans="1:2">
      <c r="A5687" s="262" t="str">
        <f t="shared" si="20"/>
        <v/>
      </c>
      <c r="B5687" s="262" t="str">
        <f t="shared" si="21"/>
        <v/>
      </c>
    </row>
    <row r="5688" spans="1:2">
      <c r="A5688" s="262" t="str">
        <f t="shared" si="20"/>
        <v/>
      </c>
      <c r="B5688" s="262" t="str">
        <f t="shared" si="21"/>
        <v/>
      </c>
    </row>
    <row r="5689" spans="1:2">
      <c r="A5689" s="262" t="str">
        <f t="shared" si="20"/>
        <v/>
      </c>
      <c r="B5689" s="262" t="str">
        <f t="shared" si="21"/>
        <v/>
      </c>
    </row>
    <row r="5690" spans="1:2">
      <c r="A5690" s="262" t="str">
        <f t="shared" si="20"/>
        <v/>
      </c>
      <c r="B5690" s="262" t="str">
        <f t="shared" si="21"/>
        <v/>
      </c>
    </row>
    <row r="5691" spans="1:2">
      <c r="A5691" s="262" t="str">
        <f t="shared" si="20"/>
        <v/>
      </c>
      <c r="B5691" s="262" t="str">
        <f t="shared" si="21"/>
        <v/>
      </c>
    </row>
    <row r="5692" spans="1:2">
      <c r="A5692" s="262" t="str">
        <f t="shared" si="20"/>
        <v/>
      </c>
      <c r="B5692" s="262" t="str">
        <f t="shared" si="21"/>
        <v/>
      </c>
    </row>
    <row r="5693" spans="1:2">
      <c r="A5693" s="262" t="str">
        <f t="shared" ref="A5693:A5751" si="22">HYPERLINK("http://tw.stock.yahoo.com/q/ta?s=","")</f>
        <v/>
      </c>
      <c r="B5693" s="262" t="str">
        <f t="shared" ref="B5693:B5751" si="23">HYPERLINK("http://tw.stock.yahoo.com/d/s/earning_.html","")</f>
        <v/>
      </c>
    </row>
    <row r="5694" spans="1:2">
      <c r="A5694" s="262" t="str">
        <f t="shared" si="22"/>
        <v/>
      </c>
      <c r="B5694" s="262" t="str">
        <f t="shared" si="23"/>
        <v/>
      </c>
    </row>
    <row r="5695" spans="1:2">
      <c r="A5695" s="262" t="str">
        <f t="shared" si="22"/>
        <v/>
      </c>
      <c r="B5695" s="262" t="str">
        <f t="shared" si="23"/>
        <v/>
      </c>
    </row>
    <row r="5696" spans="1:2">
      <c r="A5696" s="262" t="str">
        <f t="shared" si="22"/>
        <v/>
      </c>
      <c r="B5696" s="262" t="str">
        <f t="shared" si="23"/>
        <v/>
      </c>
    </row>
    <row r="5697" spans="1:2">
      <c r="A5697" s="262" t="str">
        <f t="shared" si="22"/>
        <v/>
      </c>
      <c r="B5697" s="262" t="str">
        <f t="shared" si="23"/>
        <v/>
      </c>
    </row>
    <row r="5698" spans="1:2">
      <c r="A5698" s="262" t="str">
        <f t="shared" si="22"/>
        <v/>
      </c>
      <c r="B5698" s="262" t="str">
        <f t="shared" si="23"/>
        <v/>
      </c>
    </row>
    <row r="5699" spans="1:2">
      <c r="A5699" s="262" t="str">
        <f t="shared" si="22"/>
        <v/>
      </c>
      <c r="B5699" s="262" t="str">
        <f t="shared" si="23"/>
        <v/>
      </c>
    </row>
    <row r="5700" spans="1:2">
      <c r="A5700" s="262" t="str">
        <f t="shared" si="22"/>
        <v/>
      </c>
      <c r="B5700" s="262" t="str">
        <f t="shared" si="23"/>
        <v/>
      </c>
    </row>
    <row r="5701" spans="1:2">
      <c r="A5701" s="262" t="str">
        <f t="shared" si="22"/>
        <v/>
      </c>
      <c r="B5701" s="262" t="str">
        <f t="shared" si="23"/>
        <v/>
      </c>
    </row>
    <row r="5702" spans="1:2">
      <c r="A5702" s="262" t="str">
        <f t="shared" si="22"/>
        <v/>
      </c>
      <c r="B5702" s="262" t="str">
        <f t="shared" si="23"/>
        <v/>
      </c>
    </row>
    <row r="5703" spans="1:2">
      <c r="A5703" s="262" t="str">
        <f t="shared" si="22"/>
        <v/>
      </c>
      <c r="B5703" s="262" t="str">
        <f t="shared" si="23"/>
        <v/>
      </c>
    </row>
    <row r="5704" spans="1:2">
      <c r="A5704" s="262" t="str">
        <f t="shared" si="22"/>
        <v/>
      </c>
      <c r="B5704" s="262" t="str">
        <f t="shared" si="23"/>
        <v/>
      </c>
    </row>
    <row r="5705" spans="1:2">
      <c r="A5705" s="262" t="str">
        <f t="shared" si="22"/>
        <v/>
      </c>
      <c r="B5705" s="262" t="str">
        <f t="shared" si="23"/>
        <v/>
      </c>
    </row>
    <row r="5706" spans="1:2">
      <c r="A5706" s="262" t="str">
        <f t="shared" si="22"/>
        <v/>
      </c>
      <c r="B5706" s="262" t="str">
        <f t="shared" si="23"/>
        <v/>
      </c>
    </row>
    <row r="5707" spans="1:2">
      <c r="A5707" s="262" t="str">
        <f t="shared" si="22"/>
        <v/>
      </c>
      <c r="B5707" s="262" t="str">
        <f t="shared" si="23"/>
        <v/>
      </c>
    </row>
    <row r="5708" spans="1:2">
      <c r="A5708" s="262" t="str">
        <f t="shared" si="22"/>
        <v/>
      </c>
      <c r="B5708" s="262" t="str">
        <f t="shared" si="23"/>
        <v/>
      </c>
    </row>
    <row r="5709" spans="1:2">
      <c r="A5709" s="262" t="str">
        <f t="shared" si="22"/>
        <v/>
      </c>
      <c r="B5709" s="262" t="str">
        <f t="shared" si="23"/>
        <v/>
      </c>
    </row>
    <row r="5710" spans="1:2">
      <c r="A5710" s="262" t="str">
        <f t="shared" si="22"/>
        <v/>
      </c>
      <c r="B5710" s="262" t="str">
        <f t="shared" si="23"/>
        <v/>
      </c>
    </row>
    <row r="5711" spans="1:2">
      <c r="A5711" s="262" t="str">
        <f t="shared" si="22"/>
        <v/>
      </c>
      <c r="B5711" s="262" t="str">
        <f t="shared" si="23"/>
        <v/>
      </c>
    </row>
    <row r="5712" spans="1:2">
      <c r="A5712" s="262" t="str">
        <f t="shared" si="22"/>
        <v/>
      </c>
      <c r="B5712" s="262" t="str">
        <f t="shared" si="23"/>
        <v/>
      </c>
    </row>
    <row r="5713" spans="1:2">
      <c r="A5713" s="262" t="str">
        <f t="shared" si="22"/>
        <v/>
      </c>
      <c r="B5713" s="262" t="str">
        <f t="shared" si="23"/>
        <v/>
      </c>
    </row>
    <row r="5714" spans="1:2">
      <c r="A5714" s="262" t="str">
        <f t="shared" si="22"/>
        <v/>
      </c>
      <c r="B5714" s="262" t="str">
        <f t="shared" si="23"/>
        <v/>
      </c>
    </row>
    <row r="5715" spans="1:2">
      <c r="A5715" s="262" t="str">
        <f t="shared" si="22"/>
        <v/>
      </c>
      <c r="B5715" s="262" t="str">
        <f t="shared" si="23"/>
        <v/>
      </c>
    </row>
    <row r="5716" spans="1:2">
      <c r="A5716" s="262" t="str">
        <f t="shared" si="22"/>
        <v/>
      </c>
      <c r="B5716" s="262" t="str">
        <f t="shared" si="23"/>
        <v/>
      </c>
    </row>
    <row r="5717" spans="1:2">
      <c r="A5717" s="262" t="str">
        <f t="shared" si="22"/>
        <v/>
      </c>
      <c r="B5717" s="262" t="str">
        <f t="shared" si="23"/>
        <v/>
      </c>
    </row>
    <row r="5718" spans="1:2">
      <c r="A5718" s="262" t="str">
        <f t="shared" si="22"/>
        <v/>
      </c>
      <c r="B5718" s="262" t="str">
        <f t="shared" si="23"/>
        <v/>
      </c>
    </row>
    <row r="5719" spans="1:2">
      <c r="A5719" s="262" t="str">
        <f t="shared" si="22"/>
        <v/>
      </c>
      <c r="B5719" s="262" t="str">
        <f t="shared" si="23"/>
        <v/>
      </c>
    </row>
    <row r="5720" spans="1:2">
      <c r="A5720" s="262" t="str">
        <f t="shared" si="22"/>
        <v/>
      </c>
      <c r="B5720" s="262" t="str">
        <f t="shared" si="23"/>
        <v/>
      </c>
    </row>
    <row r="5721" spans="1:2">
      <c r="A5721" s="262" t="str">
        <f t="shared" si="22"/>
        <v/>
      </c>
      <c r="B5721" s="262" t="str">
        <f t="shared" si="23"/>
        <v/>
      </c>
    </row>
    <row r="5722" spans="1:2">
      <c r="A5722" s="262" t="str">
        <f t="shared" si="22"/>
        <v/>
      </c>
      <c r="B5722" s="262" t="str">
        <f t="shared" si="23"/>
        <v/>
      </c>
    </row>
    <row r="5723" spans="1:2">
      <c r="A5723" s="262" t="str">
        <f t="shared" si="22"/>
        <v/>
      </c>
      <c r="B5723" s="262" t="str">
        <f t="shared" si="23"/>
        <v/>
      </c>
    </row>
    <row r="5724" spans="1:2">
      <c r="A5724" s="262" t="str">
        <f t="shared" si="22"/>
        <v/>
      </c>
      <c r="B5724" s="262" t="str">
        <f t="shared" si="23"/>
        <v/>
      </c>
    </row>
    <row r="5725" spans="1:2">
      <c r="A5725" s="262" t="str">
        <f t="shared" si="22"/>
        <v/>
      </c>
      <c r="B5725" s="262" t="str">
        <f t="shared" si="23"/>
        <v/>
      </c>
    </row>
    <row r="5726" spans="1:2">
      <c r="A5726" s="262" t="str">
        <f t="shared" si="22"/>
        <v/>
      </c>
      <c r="B5726" s="262" t="str">
        <f t="shared" si="23"/>
        <v/>
      </c>
    </row>
    <row r="5727" spans="1:2">
      <c r="A5727" s="262" t="str">
        <f t="shared" si="22"/>
        <v/>
      </c>
      <c r="B5727" s="262" t="str">
        <f t="shared" si="23"/>
        <v/>
      </c>
    </row>
    <row r="5728" spans="1:2">
      <c r="A5728" s="262" t="str">
        <f t="shared" si="22"/>
        <v/>
      </c>
      <c r="B5728" s="262" t="str">
        <f t="shared" si="23"/>
        <v/>
      </c>
    </row>
    <row r="5729" spans="1:2">
      <c r="A5729" s="262" t="str">
        <f t="shared" si="22"/>
        <v/>
      </c>
      <c r="B5729" s="262" t="str">
        <f t="shared" si="23"/>
        <v/>
      </c>
    </row>
    <row r="5730" spans="1:2">
      <c r="A5730" s="262" t="str">
        <f t="shared" si="22"/>
        <v/>
      </c>
      <c r="B5730" s="262" t="str">
        <f t="shared" si="23"/>
        <v/>
      </c>
    </row>
    <row r="5731" spans="1:2">
      <c r="A5731" s="262" t="str">
        <f t="shared" si="22"/>
        <v/>
      </c>
      <c r="B5731" s="262" t="str">
        <f t="shared" si="23"/>
        <v/>
      </c>
    </row>
    <row r="5732" spans="1:2">
      <c r="A5732" s="262" t="str">
        <f t="shared" si="22"/>
        <v/>
      </c>
      <c r="B5732" s="262" t="str">
        <f t="shared" si="23"/>
        <v/>
      </c>
    </row>
    <row r="5733" spans="1:2">
      <c r="A5733" s="262" t="str">
        <f t="shared" si="22"/>
        <v/>
      </c>
      <c r="B5733" s="262" t="str">
        <f t="shared" si="23"/>
        <v/>
      </c>
    </row>
    <row r="5734" spans="1:2">
      <c r="A5734" s="262" t="str">
        <f t="shared" si="22"/>
        <v/>
      </c>
      <c r="B5734" s="262" t="str">
        <f t="shared" si="23"/>
        <v/>
      </c>
    </row>
    <row r="5735" spans="1:2">
      <c r="A5735" s="262" t="str">
        <f t="shared" si="22"/>
        <v/>
      </c>
      <c r="B5735" s="262" t="str">
        <f t="shared" si="23"/>
        <v/>
      </c>
    </row>
    <row r="5736" spans="1:2">
      <c r="A5736" s="262" t="str">
        <f t="shared" si="22"/>
        <v/>
      </c>
      <c r="B5736" s="262" t="str">
        <f t="shared" si="23"/>
        <v/>
      </c>
    </row>
    <row r="5737" spans="1:2">
      <c r="A5737" s="262" t="str">
        <f t="shared" si="22"/>
        <v/>
      </c>
      <c r="B5737" s="262" t="str">
        <f t="shared" si="23"/>
        <v/>
      </c>
    </row>
    <row r="5738" spans="1:2">
      <c r="A5738" s="262" t="str">
        <f t="shared" si="22"/>
        <v/>
      </c>
      <c r="B5738" s="262" t="str">
        <f t="shared" si="23"/>
        <v/>
      </c>
    </row>
    <row r="5739" spans="1:2">
      <c r="A5739" s="262" t="str">
        <f t="shared" si="22"/>
        <v/>
      </c>
      <c r="B5739" s="262" t="str">
        <f t="shared" si="23"/>
        <v/>
      </c>
    </row>
    <row r="5740" spans="1:2">
      <c r="A5740" s="262" t="str">
        <f t="shared" si="22"/>
        <v/>
      </c>
      <c r="B5740" s="262" t="str">
        <f t="shared" si="23"/>
        <v/>
      </c>
    </row>
    <row r="5741" spans="1:2">
      <c r="A5741" s="262" t="str">
        <f t="shared" si="22"/>
        <v/>
      </c>
      <c r="B5741" s="262" t="str">
        <f t="shared" si="23"/>
        <v/>
      </c>
    </row>
    <row r="5742" spans="1:2">
      <c r="A5742" s="262" t="str">
        <f t="shared" si="22"/>
        <v/>
      </c>
      <c r="B5742" s="262" t="str">
        <f t="shared" si="23"/>
        <v/>
      </c>
    </row>
    <row r="5743" spans="1:2">
      <c r="A5743" s="262" t="str">
        <f t="shared" si="22"/>
        <v/>
      </c>
      <c r="B5743" s="262" t="str">
        <f t="shared" si="23"/>
        <v/>
      </c>
    </row>
    <row r="5744" spans="1:2">
      <c r="A5744" s="262" t="str">
        <f t="shared" si="22"/>
        <v/>
      </c>
      <c r="B5744" s="262" t="str">
        <f t="shared" si="23"/>
        <v/>
      </c>
    </row>
    <row r="5745" spans="1:2">
      <c r="A5745" s="262" t="str">
        <f t="shared" si="22"/>
        <v/>
      </c>
      <c r="B5745" s="262" t="str">
        <f t="shared" si="23"/>
        <v/>
      </c>
    </row>
    <row r="5746" spans="1:2">
      <c r="A5746" s="262" t="str">
        <f t="shared" si="22"/>
        <v/>
      </c>
      <c r="B5746" s="262" t="str">
        <f t="shared" si="23"/>
        <v/>
      </c>
    </row>
    <row r="5747" spans="1:2">
      <c r="A5747" s="262" t="str">
        <f t="shared" si="22"/>
        <v/>
      </c>
      <c r="B5747" s="262" t="str">
        <f t="shared" si="23"/>
        <v/>
      </c>
    </row>
    <row r="5748" spans="1:2">
      <c r="A5748" s="262" t="str">
        <f t="shared" si="22"/>
        <v/>
      </c>
      <c r="B5748" s="262" t="str">
        <f t="shared" si="23"/>
        <v/>
      </c>
    </row>
    <row r="5749" spans="1:2">
      <c r="A5749" s="262" t="str">
        <f t="shared" si="22"/>
        <v/>
      </c>
      <c r="B5749" s="262" t="str">
        <f t="shared" si="23"/>
        <v/>
      </c>
    </row>
    <row r="5750" spans="1:2">
      <c r="A5750" s="262" t="str">
        <f t="shared" si="22"/>
        <v/>
      </c>
      <c r="B5750" s="262" t="str">
        <f t="shared" si="23"/>
        <v/>
      </c>
    </row>
    <row r="5751" spans="1:2">
      <c r="A5751" s="262" t="str">
        <f t="shared" si="22"/>
        <v/>
      </c>
      <c r="B5751" s="262" t="str">
        <f t="shared" si="23"/>
        <v/>
      </c>
    </row>
  </sheetData>
  <autoFilter ref="A1:K724">
    <filterColumn colId="5">
      <customFilters>
        <customFilter operator="greaterThanOrEqual" val="5"/>
      </customFilters>
    </filterColumn>
    <filterColumn colId="6">
      <customFilters>
        <customFilter operator="greaterThanOrEqual" val="5"/>
      </customFilters>
    </filterColumn>
    <filterColumn colId="9">
      <customFilters>
        <customFilter operator="greaterThanOrEqual" val="21"/>
      </customFilters>
    </filterColumn>
    <filterColumn colId="10">
      <customFilters>
        <customFilter operator="greaterThanOrEqual" val="1"/>
      </customFilters>
    </filterColumn>
  </autoFilter>
  <sortState ref="A35:K2000">
    <sortCondition descending="1" ref="J2:J200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6" r:id="rId4" name="CommandButton6">
          <controlPr defaultSize="0" autoLine="0" autoPict="0" r:id="rId5">
            <anchor moveWithCells="1">
              <from>
                <xdr:col>1</xdr:col>
                <xdr:colOff>38100</xdr:colOff>
                <xdr:row>0</xdr:row>
                <xdr:rowOff>66675</xdr:rowOff>
              </from>
              <to>
                <xdr:col>1</xdr:col>
                <xdr:colOff>647700</xdr:colOff>
                <xdr:row>0</xdr:row>
                <xdr:rowOff>361950</xdr:rowOff>
              </to>
            </anchor>
          </controlPr>
        </control>
      </mc:Choice>
      <mc:Fallback>
        <control shapeId="12296" r:id="rId4" name="CommandButton6"/>
      </mc:Fallback>
    </mc:AlternateContent>
    <mc:AlternateContent xmlns:mc="http://schemas.openxmlformats.org/markup-compatibility/2006">
      <mc:Choice Requires="x14">
        <control shapeId="12295" r:id="rId6" name="CommandButton5">
          <controlPr defaultSize="0" autoLine="0" r:id="rId7">
            <anchor moveWithCells="1">
              <from>
                <xdr:col>10</xdr:col>
                <xdr:colOff>1314450</xdr:colOff>
                <xdr:row>0</xdr:row>
                <xdr:rowOff>57150</xdr:rowOff>
              </from>
              <to>
                <xdr:col>10</xdr:col>
                <xdr:colOff>2409825</xdr:colOff>
                <xdr:row>0</xdr:row>
                <xdr:rowOff>352425</xdr:rowOff>
              </to>
            </anchor>
          </controlPr>
        </control>
      </mc:Choice>
      <mc:Fallback>
        <control shapeId="12295" r:id="rId6" name="CommandButton5"/>
      </mc:Fallback>
    </mc:AlternateContent>
    <mc:AlternateContent xmlns:mc="http://schemas.openxmlformats.org/markup-compatibility/2006">
      <mc:Choice Requires="x14">
        <control shapeId="12293" r:id="rId8" name="CommandButton4">
          <controlPr defaultSize="0" autoLine="0" r:id="rId9">
            <anchor moveWithCells="1">
              <from>
                <xdr:col>10</xdr:col>
                <xdr:colOff>66675</xdr:colOff>
                <xdr:row>0</xdr:row>
                <xdr:rowOff>57150</xdr:rowOff>
              </from>
              <to>
                <xdr:col>10</xdr:col>
                <xdr:colOff>1162050</xdr:colOff>
                <xdr:row>0</xdr:row>
                <xdr:rowOff>352425</xdr:rowOff>
              </to>
            </anchor>
          </controlPr>
        </control>
      </mc:Choice>
      <mc:Fallback>
        <control shapeId="12293" r:id="rId8" name="CommandButton4"/>
      </mc:Fallback>
    </mc:AlternateContent>
    <mc:AlternateContent xmlns:mc="http://schemas.openxmlformats.org/markup-compatibility/2006">
      <mc:Choice Requires="x14">
        <control shapeId="12289" r:id="rId10" name="ComboBox1">
          <controlPr defaultSize="0" autoLine="0" autoPict="0" linkedCell="A1" r:id="rId11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1</xdr:col>
                <xdr:colOff>9525</xdr:colOff>
                <xdr:row>0</xdr:row>
                <xdr:rowOff>352425</xdr:rowOff>
              </to>
            </anchor>
          </controlPr>
        </control>
      </mc:Choice>
      <mc:Fallback>
        <control shapeId="12289" r:id="rId10" name="ComboBox1"/>
      </mc:Fallback>
    </mc:AlternateContent>
    <mc:AlternateContent xmlns:mc="http://schemas.openxmlformats.org/markup-compatibility/2006">
      <mc:Choice Requires="x14">
        <control shapeId="12290" r:id="rId12" name="CommandButton1">
          <controlPr defaultSize="0" autoLine="0" r:id="rId13">
            <anchor moveWithCells="1">
              <from>
                <xdr:col>5</xdr:col>
                <xdr:colOff>28575</xdr:colOff>
                <xdr:row>0</xdr:row>
                <xdr:rowOff>57150</xdr:rowOff>
              </from>
              <to>
                <xdr:col>5</xdr:col>
                <xdr:colOff>1123950</xdr:colOff>
                <xdr:row>0</xdr:row>
                <xdr:rowOff>352425</xdr:rowOff>
              </to>
            </anchor>
          </controlPr>
        </control>
      </mc:Choice>
      <mc:Fallback>
        <control shapeId="12290" r:id="rId12" name="CommandButton1"/>
      </mc:Fallback>
    </mc:AlternateContent>
    <mc:AlternateContent xmlns:mc="http://schemas.openxmlformats.org/markup-compatibility/2006">
      <mc:Choice Requires="x14">
        <control shapeId="12291" r:id="rId14" name="CommandButton2">
          <controlPr defaultSize="0" autoLine="0" r:id="rId1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1133475</xdr:colOff>
                <xdr:row>0</xdr:row>
                <xdr:rowOff>352425</xdr:rowOff>
              </to>
            </anchor>
          </controlPr>
        </control>
      </mc:Choice>
      <mc:Fallback>
        <control shapeId="12291" r:id="rId14" name="CommandButton2"/>
      </mc:Fallback>
    </mc:AlternateContent>
    <mc:AlternateContent xmlns:mc="http://schemas.openxmlformats.org/markup-compatibility/2006">
      <mc:Choice Requires="x14">
        <control shapeId="12292" r:id="rId16" name="CommandButton3">
          <controlPr defaultSize="0" autoLine="0" r:id="rId17">
            <anchor moveWithCells="1">
              <from>
                <xdr:col>9</xdr:col>
                <xdr:colOff>28575</xdr:colOff>
                <xdr:row>0</xdr:row>
                <xdr:rowOff>57150</xdr:rowOff>
              </from>
              <to>
                <xdr:col>9</xdr:col>
                <xdr:colOff>1123950</xdr:colOff>
                <xdr:row>0</xdr:row>
                <xdr:rowOff>352425</xdr:rowOff>
              </to>
            </anchor>
          </controlPr>
        </control>
      </mc:Choice>
      <mc:Fallback>
        <control shapeId="12292" r:id="rId16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SR"/>
  <dimension ref="A1:AD1502"/>
  <sheetViews>
    <sheetView zoomScale="110" zoomScaleNormal="11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I34" sqref="I34"/>
    </sheetView>
  </sheetViews>
  <sheetFormatPr defaultColWidth="9" defaultRowHeight="16.5"/>
  <cols>
    <col min="1" max="1" width="14.375" style="65" bestFit="1" customWidth="1"/>
    <col min="2" max="2" width="13.625" style="52" bestFit="1" customWidth="1"/>
    <col min="3" max="3" width="14.375" style="185" customWidth="1"/>
    <col min="4" max="4" width="19.75" style="182" bestFit="1" customWidth="1"/>
    <col min="5" max="5" width="14.375" style="53" customWidth="1"/>
    <col min="6" max="6" width="14.375" style="185" customWidth="1"/>
    <col min="7" max="7" width="19.75" style="54" bestFit="1" customWidth="1"/>
    <col min="8" max="8" width="22.75" style="54" bestFit="1" customWidth="1"/>
    <col min="9" max="9" width="11.125" style="66" bestFit="1" customWidth="1"/>
    <col min="10" max="10" width="9.625" style="187" bestFit="1" customWidth="1"/>
    <col min="11" max="13" width="9.625" style="26" customWidth="1"/>
    <col min="14" max="14" width="10.5" style="26" customWidth="1"/>
    <col min="15" max="15" width="81" style="26" customWidth="1"/>
    <col min="16" max="16" width="7.375" style="26" customWidth="1"/>
    <col min="17" max="17" width="9.625" style="26" customWidth="1"/>
    <col min="18" max="18" width="7.375" style="26" customWidth="1"/>
    <col min="19" max="19" width="9.625" style="26" customWidth="1"/>
    <col min="20" max="20" width="7.375" style="26" customWidth="1"/>
    <col min="21" max="21" width="9.625" style="26" customWidth="1"/>
    <col min="22" max="23" width="7.375" style="26" customWidth="1"/>
    <col min="24" max="16384" width="9" style="26"/>
  </cols>
  <sheetData>
    <row r="1" spans="1:30" ht="33" customHeight="1">
      <c r="A1" s="64" t="s">
        <v>250</v>
      </c>
      <c r="B1" s="56" t="s">
        <v>228</v>
      </c>
      <c r="C1" s="183" t="s">
        <v>247</v>
      </c>
      <c r="D1" s="57" t="s">
        <v>249</v>
      </c>
      <c r="E1" s="55" t="s">
        <v>1905</v>
      </c>
      <c r="F1" s="183" t="s">
        <v>1903</v>
      </c>
      <c r="G1" s="57" t="s">
        <v>248</v>
      </c>
      <c r="H1" s="57" t="s">
        <v>1902</v>
      </c>
      <c r="I1" s="67" t="s">
        <v>544</v>
      </c>
      <c r="J1" s="186" t="s">
        <v>1904</v>
      </c>
      <c r="N1" s="26" t="e">
        <f>sum</f>
        <v>#NAME?</v>
      </c>
    </row>
    <row r="2" spans="1:30">
      <c r="A2" s="65">
        <v>4413</v>
      </c>
      <c r="B2" s="175">
        <v>0</v>
      </c>
      <c r="C2" s="184">
        <v>0</v>
      </c>
      <c r="D2" s="177">
        <v>19300000</v>
      </c>
      <c r="E2" s="26"/>
      <c r="F2" s="184">
        <v>0.44865833333333333</v>
      </c>
      <c r="G2" s="177">
        <v>0</v>
      </c>
      <c r="H2" s="177">
        <v>187218000</v>
      </c>
      <c r="I2" s="175">
        <v>0</v>
      </c>
      <c r="J2" s="177">
        <v>0</v>
      </c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>
      <c r="A3" s="65">
        <v>8934</v>
      </c>
      <c r="B3" s="175">
        <v>-0.48</v>
      </c>
      <c r="C3" s="184">
        <v>0</v>
      </c>
      <c r="D3" s="177">
        <v>8333333.333333334</v>
      </c>
      <c r="E3" s="26"/>
      <c r="F3" s="184">
        <v>7.9416666666666663E-3</v>
      </c>
      <c r="G3" s="177">
        <v>0</v>
      </c>
      <c r="H3" s="177">
        <v>672859000</v>
      </c>
      <c r="I3" s="175">
        <v>0</v>
      </c>
      <c r="J3" s="177">
        <v>0</v>
      </c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>
      <c r="A4" s="65">
        <v>6240</v>
      </c>
      <c r="B4" s="175">
        <v>-0.06</v>
      </c>
      <c r="C4" s="184">
        <v>0</v>
      </c>
      <c r="D4" s="177">
        <v>16666666.666666668</v>
      </c>
      <c r="E4" s="26"/>
      <c r="F4" s="184">
        <v>9.9899999999999989E-2</v>
      </c>
      <c r="G4" s="177">
        <v>0</v>
      </c>
      <c r="H4" s="177">
        <v>259458000</v>
      </c>
      <c r="I4" s="175">
        <v>0</v>
      </c>
      <c r="J4" s="177">
        <v>0</v>
      </c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>
      <c r="A5" s="65">
        <v>6250</v>
      </c>
      <c r="B5" s="175">
        <v>-2.48</v>
      </c>
      <c r="C5" s="184">
        <v>0.97826086956521741</v>
      </c>
      <c r="D5" s="177">
        <v>18145161.290322579</v>
      </c>
      <c r="E5" s="26"/>
      <c r="F5" s="184">
        <v>0.55809166666666676</v>
      </c>
      <c r="G5" s="177">
        <v>0</v>
      </c>
      <c r="H5" s="177">
        <v>140174000</v>
      </c>
      <c r="I5" s="175">
        <v>0</v>
      </c>
      <c r="J5" s="177">
        <v>0</v>
      </c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>
      <c r="A6" s="65">
        <v>5205</v>
      </c>
      <c r="B6" s="175">
        <v>-0.21</v>
      </c>
      <c r="C6" s="184">
        <v>1</v>
      </c>
      <c r="D6" s="177">
        <v>19047619.047619049</v>
      </c>
      <c r="E6" s="26"/>
      <c r="F6" s="184">
        <v>1.4576666666666667</v>
      </c>
      <c r="G6" s="177">
        <v>0</v>
      </c>
      <c r="H6" s="177">
        <v>3099000</v>
      </c>
      <c r="I6" s="175">
        <v>0</v>
      </c>
      <c r="J6" s="177">
        <v>0</v>
      </c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>
      <c r="A7" s="65">
        <v>6242</v>
      </c>
      <c r="B7" s="175">
        <v>1</v>
      </c>
      <c r="C7" s="184">
        <v>1</v>
      </c>
      <c r="D7" s="177">
        <v>20000000</v>
      </c>
      <c r="E7" s="26"/>
      <c r="F7" s="184">
        <v>7.4650000000000008E-2</v>
      </c>
      <c r="G7" s="177">
        <v>0</v>
      </c>
      <c r="H7" s="177">
        <v>446380000</v>
      </c>
      <c r="I7" s="175">
        <v>0</v>
      </c>
      <c r="J7" s="177">
        <v>0</v>
      </c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t="17.25" customHeight="1">
      <c r="A8" s="65">
        <v>6248</v>
      </c>
      <c r="B8" s="175">
        <v>0.4</v>
      </c>
      <c r="C8" s="184">
        <v>1</v>
      </c>
      <c r="D8" s="177">
        <v>20000000</v>
      </c>
      <c r="E8" s="26"/>
      <c r="F8" s="184">
        <v>-5.2416666666666722E-3</v>
      </c>
      <c r="G8" s="177">
        <v>0</v>
      </c>
      <c r="H8" s="177">
        <v>1377809000</v>
      </c>
      <c r="I8" s="175">
        <v>0</v>
      </c>
      <c r="J8" s="177">
        <v>0</v>
      </c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>
      <c r="A9" s="65">
        <v>3465</v>
      </c>
      <c r="B9" s="175">
        <v>-0.62</v>
      </c>
      <c r="C9" s="184">
        <v>1</v>
      </c>
      <c r="D9" s="177">
        <v>22580645.161290321</v>
      </c>
      <c r="E9" s="26"/>
      <c r="F9" s="184">
        <v>-4.259166666666666E-2</v>
      </c>
      <c r="G9" s="177">
        <v>0</v>
      </c>
      <c r="H9" s="177">
        <v>252690000</v>
      </c>
      <c r="I9" s="175">
        <v>0</v>
      </c>
      <c r="J9" s="177">
        <v>0</v>
      </c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>
      <c r="A10" s="65">
        <v>5348</v>
      </c>
      <c r="B10" s="175">
        <v>-0.4</v>
      </c>
      <c r="C10" s="184">
        <v>0.94444444444444442</v>
      </c>
      <c r="D10" s="177">
        <v>25000000</v>
      </c>
      <c r="E10" s="26"/>
      <c r="F10" s="184">
        <v>7.226666666666666E-2</v>
      </c>
      <c r="G10" s="177">
        <v>0</v>
      </c>
      <c r="H10" s="177">
        <v>207023000</v>
      </c>
      <c r="I10" s="175">
        <v>0</v>
      </c>
      <c r="J10" s="177">
        <v>0</v>
      </c>
      <c r="L10" s="32"/>
      <c r="M10" s="32"/>
      <c r="N10" s="32"/>
      <c r="O10" s="32"/>
      <c r="P10" s="32"/>
      <c r="Q10" s="179"/>
      <c r="R10" s="32"/>
      <c r="S10" s="32"/>
      <c r="T10" s="178"/>
      <c r="U10" s="179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>
      <c r="A11" s="65">
        <v>2067</v>
      </c>
      <c r="B11" s="175">
        <v>-1.08</v>
      </c>
      <c r="C11" s="184">
        <v>0.8936170212765957</v>
      </c>
      <c r="D11" s="177">
        <v>28703703.703703701</v>
      </c>
      <c r="E11" s="26"/>
      <c r="F11" s="184">
        <v>-1.0891666666666669E-2</v>
      </c>
      <c r="G11" s="177">
        <v>0</v>
      </c>
      <c r="H11" s="177">
        <v>865489000</v>
      </c>
      <c r="I11" s="175">
        <v>0</v>
      </c>
      <c r="J11" s="177">
        <v>0</v>
      </c>
      <c r="L11" s="32"/>
      <c r="M11" s="32"/>
      <c r="N11" s="32"/>
      <c r="O11" s="32"/>
      <c r="P11" s="32"/>
      <c r="Q11" s="179"/>
      <c r="R11" s="32"/>
      <c r="S11" s="179"/>
      <c r="T11" s="178"/>
      <c r="U11" s="179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>
      <c r="A12" s="65">
        <v>4530</v>
      </c>
      <c r="B12" s="175">
        <v>-0.48</v>
      </c>
      <c r="C12" s="184">
        <v>0.8125</v>
      </c>
      <c r="D12" s="177">
        <v>29166666.666666668</v>
      </c>
      <c r="E12" s="26"/>
      <c r="F12" s="184">
        <v>4.7816666666666674E-2</v>
      </c>
      <c r="G12" s="177">
        <v>0</v>
      </c>
      <c r="H12" s="177">
        <v>69883000</v>
      </c>
      <c r="I12" s="175">
        <v>0</v>
      </c>
      <c r="J12" s="177">
        <v>0</v>
      </c>
      <c r="L12" s="32"/>
      <c r="M12" s="32"/>
      <c r="N12" s="32"/>
      <c r="O12" s="32"/>
      <c r="P12" s="32"/>
      <c r="Q12" s="179"/>
      <c r="R12" s="32"/>
      <c r="S12" s="179"/>
      <c r="T12" s="178"/>
      <c r="U12" s="179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>
      <c r="A13" s="65">
        <v>3093</v>
      </c>
      <c r="B13" s="175">
        <v>0.27</v>
      </c>
      <c r="C13" s="184">
        <v>0.96</v>
      </c>
      <c r="D13" s="177">
        <v>37037037.037037037</v>
      </c>
      <c r="E13" s="26"/>
      <c r="F13" s="184">
        <v>2.5799999999999993E-2</v>
      </c>
      <c r="G13" s="177">
        <v>0</v>
      </c>
      <c r="H13" s="177">
        <v>889105000</v>
      </c>
      <c r="I13" s="175">
        <v>0</v>
      </c>
      <c r="J13" s="177">
        <v>0</v>
      </c>
      <c r="L13" s="32"/>
      <c r="M13" s="32"/>
      <c r="N13" s="32"/>
      <c r="O13" s="32"/>
      <c r="P13" s="32"/>
      <c r="Q13" s="179"/>
      <c r="R13" s="32"/>
      <c r="S13" s="179"/>
      <c r="T13" s="178"/>
      <c r="U13" s="179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>
      <c r="A14" s="65">
        <v>6172</v>
      </c>
      <c r="B14" s="175">
        <v>-7.0000000000000007E-2</v>
      </c>
      <c r="C14" s="184">
        <v>1</v>
      </c>
      <c r="D14" s="177">
        <v>42857142.857142851</v>
      </c>
      <c r="E14" s="26"/>
      <c r="F14" s="184">
        <v>5.9083333333333305E-3</v>
      </c>
      <c r="G14" s="177">
        <v>0</v>
      </c>
      <c r="H14" s="177">
        <v>302851000</v>
      </c>
      <c r="I14" s="175">
        <v>0</v>
      </c>
      <c r="J14" s="177">
        <v>0</v>
      </c>
      <c r="L14" s="32"/>
      <c r="M14" s="32"/>
      <c r="N14" s="32"/>
      <c r="O14" s="32"/>
      <c r="P14" s="178"/>
      <c r="Q14" s="179"/>
      <c r="R14" s="32"/>
      <c r="S14" s="179"/>
      <c r="T14" s="178"/>
      <c r="U14" s="179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>
      <c r="A15" s="65">
        <v>8921</v>
      </c>
      <c r="B15" s="175">
        <v>0.22</v>
      </c>
      <c r="C15" s="184">
        <v>0.66666666666666663</v>
      </c>
      <c r="D15" s="177">
        <v>45454545.454545453</v>
      </c>
      <c r="E15" s="26"/>
      <c r="F15" s="184">
        <v>-5.0750000000000005E-3</v>
      </c>
      <c r="G15" s="177">
        <v>0</v>
      </c>
      <c r="H15" s="177">
        <v>732698000</v>
      </c>
      <c r="I15" s="175">
        <v>0</v>
      </c>
      <c r="J15" s="177">
        <v>0</v>
      </c>
      <c r="L15" s="32"/>
      <c r="M15" s="32"/>
      <c r="N15" s="32"/>
      <c r="O15" s="32"/>
      <c r="P15" s="178"/>
      <c r="Q15" s="179"/>
      <c r="R15" s="32"/>
      <c r="S15" s="179"/>
      <c r="T15" s="178"/>
      <c r="U15" s="179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>
      <c r="A16" s="65">
        <v>2348</v>
      </c>
      <c r="B16" s="175">
        <v>-0.02</v>
      </c>
      <c r="C16" s="184">
        <v>1</v>
      </c>
      <c r="D16" s="177">
        <v>50000000</v>
      </c>
      <c r="E16" s="26"/>
      <c r="F16" s="184">
        <v>5.7916666666666665E-2</v>
      </c>
      <c r="G16" s="177">
        <v>0</v>
      </c>
      <c r="H16" s="177">
        <v>1211660000</v>
      </c>
      <c r="I16" s="175">
        <v>0</v>
      </c>
      <c r="J16" s="177">
        <v>0</v>
      </c>
      <c r="L16" s="32"/>
      <c r="M16" s="32"/>
      <c r="N16" s="32"/>
      <c r="O16" s="32"/>
      <c r="P16" s="178"/>
      <c r="Q16" s="32"/>
      <c r="R16" s="32"/>
      <c r="S16" s="179"/>
      <c r="T16" s="178"/>
      <c r="U16" s="179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>
      <c r="A17" s="65">
        <v>6199</v>
      </c>
      <c r="B17" s="175">
        <v>0.04</v>
      </c>
      <c r="C17" s="184">
        <v>0.7142857142857143</v>
      </c>
      <c r="D17" s="177">
        <v>50000000</v>
      </c>
      <c r="E17" s="26"/>
      <c r="F17" s="184">
        <v>-3.3499999999999975E-3</v>
      </c>
      <c r="G17" s="177">
        <v>0</v>
      </c>
      <c r="H17" s="177">
        <v>85803000</v>
      </c>
      <c r="I17" s="175">
        <v>0</v>
      </c>
      <c r="J17" s="177">
        <v>0</v>
      </c>
      <c r="L17" s="32"/>
      <c r="M17" s="32"/>
      <c r="N17" s="32"/>
      <c r="O17" s="32"/>
      <c r="P17" s="32"/>
      <c r="Q17" s="32"/>
      <c r="R17" s="32"/>
      <c r="S17" s="179"/>
      <c r="T17" s="32"/>
      <c r="U17" s="179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t="16.5" customHeight="1">
      <c r="A18" s="65">
        <v>4416</v>
      </c>
      <c r="B18" s="175">
        <v>15.42</v>
      </c>
      <c r="C18" s="184">
        <v>1</v>
      </c>
      <c r="D18" s="177">
        <v>55836575.875486381</v>
      </c>
      <c r="E18" s="26"/>
      <c r="F18" s="184">
        <v>12.858866666666664</v>
      </c>
      <c r="G18" s="177">
        <v>0</v>
      </c>
      <c r="H18" s="177">
        <v>1866375000</v>
      </c>
      <c r="I18" s="175">
        <v>0</v>
      </c>
      <c r="J18" s="177">
        <v>0</v>
      </c>
      <c r="L18" s="32"/>
      <c r="M18" s="32"/>
      <c r="N18" s="32"/>
      <c r="O18" s="32"/>
      <c r="P18" s="32"/>
      <c r="Q18" s="179"/>
      <c r="R18" s="32"/>
      <c r="S18" s="32"/>
      <c r="T18" s="32"/>
      <c r="U18" s="179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>
      <c r="A19" s="65">
        <v>5601</v>
      </c>
      <c r="B19" s="175">
        <v>0.06</v>
      </c>
      <c r="C19" s="184">
        <v>0.9</v>
      </c>
      <c r="D19" s="177">
        <v>66666666.666666672</v>
      </c>
      <c r="E19" s="26"/>
      <c r="F19" s="184">
        <v>4.1916666666666665E-3</v>
      </c>
      <c r="G19" s="177">
        <v>0</v>
      </c>
      <c r="H19" s="177">
        <v>75425000</v>
      </c>
      <c r="I19" s="175">
        <v>0</v>
      </c>
      <c r="J19" s="177">
        <v>0</v>
      </c>
      <c r="L19" s="32"/>
      <c r="M19" s="32"/>
      <c r="N19" s="32"/>
      <c r="O19" s="32"/>
      <c r="P19" s="32"/>
      <c r="Q19" s="179"/>
      <c r="R19" s="32"/>
      <c r="S19" s="179"/>
      <c r="T19" s="32"/>
      <c r="U19" s="179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>
      <c r="A20" s="65">
        <v>8077</v>
      </c>
      <c r="B20" s="175">
        <v>0.03</v>
      </c>
      <c r="C20" s="184">
        <v>0.93333333333333335</v>
      </c>
      <c r="D20" s="177">
        <v>66666666.666666672</v>
      </c>
      <c r="E20" s="26"/>
      <c r="F20" s="184">
        <v>1.0198250000000002</v>
      </c>
      <c r="G20" s="177">
        <v>0</v>
      </c>
      <c r="H20" s="177">
        <v>165477000</v>
      </c>
      <c r="I20" s="175">
        <v>0</v>
      </c>
      <c r="J20" s="177">
        <v>0</v>
      </c>
      <c r="L20" s="32"/>
      <c r="M20" s="32"/>
      <c r="N20" s="32"/>
      <c r="O20" s="32"/>
      <c r="P20" s="32"/>
      <c r="Q20" s="179"/>
      <c r="R20" s="32"/>
      <c r="S20" s="32"/>
      <c r="T20" s="178"/>
      <c r="U20" s="179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>
      <c r="A21" s="65">
        <v>5703</v>
      </c>
      <c r="B21" s="175">
        <v>0.13</v>
      </c>
      <c r="C21" s="184">
        <v>1</v>
      </c>
      <c r="D21" s="177">
        <v>69230769.230769232</v>
      </c>
      <c r="E21" s="26"/>
      <c r="F21" s="184">
        <v>2.0083333333333329E-3</v>
      </c>
      <c r="G21" s="177">
        <v>0</v>
      </c>
      <c r="H21" s="177">
        <v>1028618000</v>
      </c>
      <c r="I21" s="175">
        <v>0</v>
      </c>
      <c r="J21" s="177">
        <v>0</v>
      </c>
      <c r="L21" s="32"/>
      <c r="M21" s="32"/>
      <c r="N21" s="32"/>
      <c r="O21" s="32"/>
      <c r="P21" s="32"/>
      <c r="Q21" s="32"/>
      <c r="R21" s="32"/>
      <c r="S21" s="32"/>
      <c r="T21" s="178"/>
      <c r="U21" s="179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>
      <c r="A22" s="65">
        <v>4415</v>
      </c>
      <c r="B22" s="175">
        <v>-0.1</v>
      </c>
      <c r="C22" s="184">
        <v>1</v>
      </c>
      <c r="D22" s="177">
        <v>70000000</v>
      </c>
      <c r="E22" s="26"/>
      <c r="F22" s="184">
        <v>6.5812750000000007</v>
      </c>
      <c r="G22" s="177">
        <v>0</v>
      </c>
      <c r="H22" s="177">
        <v>41051000</v>
      </c>
      <c r="I22" s="175">
        <v>0</v>
      </c>
      <c r="J22" s="177">
        <v>0</v>
      </c>
      <c r="L22" s="32"/>
      <c r="M22" s="32"/>
      <c r="N22" s="32"/>
      <c r="O22" s="32"/>
      <c r="P22" s="32"/>
      <c r="Q22" s="179"/>
      <c r="R22" s="32"/>
      <c r="S22" s="179"/>
      <c r="T22" s="178"/>
      <c r="U22" s="179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>
      <c r="A23" s="65">
        <v>6144</v>
      </c>
      <c r="B23" s="175">
        <v>-0.04</v>
      </c>
      <c r="C23" s="184">
        <v>0</v>
      </c>
      <c r="D23" s="177">
        <v>75000000</v>
      </c>
      <c r="E23" s="26"/>
      <c r="F23" s="184">
        <v>2.9541666666666678E-2</v>
      </c>
      <c r="G23" s="177">
        <v>0</v>
      </c>
      <c r="H23" s="177">
        <v>789336000</v>
      </c>
      <c r="I23" s="175">
        <v>0</v>
      </c>
      <c r="J23" s="177">
        <v>0</v>
      </c>
      <c r="L23" s="32"/>
      <c r="M23" s="32"/>
      <c r="N23" s="32"/>
      <c r="O23" s="32"/>
      <c r="P23" s="32"/>
      <c r="Q23" s="179"/>
      <c r="R23" s="32"/>
      <c r="S23" s="179"/>
      <c r="T23" s="178"/>
      <c r="U23" s="179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>
      <c r="A24" s="65">
        <v>6225</v>
      </c>
      <c r="B24" s="175">
        <v>-0.35</v>
      </c>
      <c r="C24" s="184">
        <v>0.94871794871794868</v>
      </c>
      <c r="D24" s="177">
        <v>85714285.714285716</v>
      </c>
      <c r="E24" s="26"/>
      <c r="F24" s="184">
        <v>1.6275000000000008E-2</v>
      </c>
      <c r="G24" s="177">
        <v>0</v>
      </c>
      <c r="H24" s="177">
        <v>113970000</v>
      </c>
      <c r="I24" s="175">
        <v>0</v>
      </c>
      <c r="J24" s="177">
        <v>0</v>
      </c>
      <c r="L24" s="32"/>
      <c r="M24" s="32"/>
      <c r="N24" s="32"/>
      <c r="O24" s="32"/>
      <c r="P24" s="32"/>
      <c r="Q24" s="179"/>
      <c r="R24" s="32"/>
      <c r="S24" s="32"/>
      <c r="T24" s="178"/>
      <c r="U24" s="179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>
      <c r="A25" s="65">
        <v>6212</v>
      </c>
      <c r="B25" s="175">
        <v>1.35</v>
      </c>
      <c r="C25" s="184">
        <v>1</v>
      </c>
      <c r="D25" s="177">
        <v>102222222.22222221</v>
      </c>
      <c r="E25" s="26"/>
      <c r="F25" s="184">
        <v>-0.256575</v>
      </c>
      <c r="G25" s="177">
        <v>0</v>
      </c>
      <c r="H25" s="177">
        <v>1304164000</v>
      </c>
      <c r="I25" s="175">
        <v>0</v>
      </c>
      <c r="J25" s="177">
        <v>0</v>
      </c>
      <c r="L25" s="32"/>
      <c r="M25" s="32"/>
      <c r="N25" s="32"/>
      <c r="O25" s="32"/>
      <c r="P25" s="32"/>
      <c r="Q25" s="179"/>
      <c r="R25" s="32"/>
      <c r="S25" s="32"/>
      <c r="T25" s="178"/>
      <c r="U25" s="179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>
      <c r="A26" s="65">
        <v>9931</v>
      </c>
      <c r="B26" s="175">
        <v>0.69</v>
      </c>
      <c r="C26" s="184">
        <v>0.72972972972972971</v>
      </c>
      <c r="D26" s="177">
        <v>102898550.72463769</v>
      </c>
      <c r="E26" s="26"/>
      <c r="F26" s="184">
        <v>-8.333333333333335E-3</v>
      </c>
      <c r="G26" s="177">
        <v>0</v>
      </c>
      <c r="H26" s="177">
        <v>1370577000</v>
      </c>
      <c r="I26" s="175">
        <v>0</v>
      </c>
      <c r="J26" s="177">
        <v>0</v>
      </c>
      <c r="L26" s="32"/>
      <c r="M26" s="32"/>
      <c r="N26" s="32"/>
      <c r="O26" s="32"/>
      <c r="P26" s="32"/>
      <c r="Q26" s="179"/>
      <c r="R26" s="32"/>
      <c r="S26" s="179"/>
      <c r="T26" s="178"/>
      <c r="U26" s="179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>
      <c r="A27" s="65">
        <v>1469</v>
      </c>
      <c r="B27" s="175">
        <v>0.15</v>
      </c>
      <c r="C27" s="184">
        <v>1</v>
      </c>
      <c r="D27" s="177">
        <v>120000000</v>
      </c>
      <c r="E27" s="26"/>
      <c r="F27" s="184">
        <v>6.2583333333333338E-2</v>
      </c>
      <c r="G27" s="177">
        <v>0</v>
      </c>
      <c r="H27" s="177">
        <v>424091000</v>
      </c>
      <c r="I27" s="175">
        <v>0</v>
      </c>
      <c r="J27" s="177">
        <v>0</v>
      </c>
      <c r="L27" s="32"/>
      <c r="M27" s="32"/>
      <c r="N27" s="32"/>
      <c r="O27" s="32"/>
      <c r="P27" s="32"/>
      <c r="Q27" s="179"/>
      <c r="R27" s="32"/>
      <c r="S27" s="179"/>
      <c r="T27" s="178"/>
      <c r="U27" s="179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>
      <c r="A28" s="65">
        <v>8917</v>
      </c>
      <c r="B28" s="175">
        <v>0.35</v>
      </c>
      <c r="C28" s="184">
        <v>0.92682926829268297</v>
      </c>
      <c r="D28" s="177">
        <v>122857142.85714287</v>
      </c>
      <c r="E28" s="26"/>
      <c r="F28" s="184">
        <v>-1.6008333333333326E-2</v>
      </c>
      <c r="G28" s="177">
        <v>0</v>
      </c>
      <c r="H28" s="177">
        <v>1751747000</v>
      </c>
      <c r="I28" s="175">
        <v>0</v>
      </c>
      <c r="J28" s="177">
        <v>0</v>
      </c>
      <c r="L28" s="32"/>
      <c r="M28" s="32"/>
      <c r="N28" s="32"/>
      <c r="O28" s="32"/>
      <c r="P28" s="32"/>
      <c r="Q28" s="179"/>
      <c r="R28" s="32"/>
      <c r="S28" s="179"/>
      <c r="T28" s="178"/>
      <c r="U28" s="179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>
      <c r="A29" s="65">
        <v>1527</v>
      </c>
      <c r="B29" s="175">
        <v>0.18</v>
      </c>
      <c r="C29" s="184">
        <v>1</v>
      </c>
      <c r="D29" s="177">
        <v>155555555.55555555</v>
      </c>
      <c r="E29" s="26"/>
      <c r="F29" s="184">
        <v>3.0058333333333336E-2</v>
      </c>
      <c r="G29" s="177">
        <v>0</v>
      </c>
      <c r="H29" s="177">
        <v>3347406000</v>
      </c>
      <c r="I29" s="175">
        <v>0</v>
      </c>
      <c r="J29" s="177">
        <v>0</v>
      </c>
      <c r="L29" s="32"/>
      <c r="M29" s="32"/>
      <c r="N29" s="32"/>
      <c r="O29" s="32"/>
      <c r="P29" s="32"/>
      <c r="Q29" s="32"/>
      <c r="R29" s="32"/>
      <c r="S29" s="179"/>
      <c r="T29" s="32"/>
      <c r="U29" s="179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>
      <c r="A30" s="65">
        <v>4174</v>
      </c>
      <c r="B30" s="175">
        <v>-1.02</v>
      </c>
      <c r="C30" s="184">
        <v>1</v>
      </c>
      <c r="D30" s="177">
        <v>169607843.13725489</v>
      </c>
      <c r="E30" s="26"/>
      <c r="F30" s="184">
        <v>0</v>
      </c>
      <c r="G30" s="177">
        <v>71574509803.92157</v>
      </c>
      <c r="H30" s="177">
        <v>0</v>
      </c>
      <c r="I30" s="175">
        <v>0</v>
      </c>
      <c r="J30" s="177">
        <v>0</v>
      </c>
      <c r="L30" s="32"/>
      <c r="M30" s="32"/>
      <c r="N30" s="32"/>
      <c r="O30" s="32"/>
      <c r="P30" s="32"/>
      <c r="Q30" s="179"/>
      <c r="R30" s="32"/>
      <c r="S30" s="179"/>
      <c r="T30" s="32"/>
      <c r="U30" s="179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>
      <c r="A31" s="65">
        <v>1416</v>
      </c>
      <c r="B31" s="175">
        <v>-0.19</v>
      </c>
      <c r="C31" s="184">
        <v>0.48</v>
      </c>
      <c r="D31" s="177">
        <v>294736842.10526317</v>
      </c>
      <c r="E31" s="26"/>
      <c r="F31" s="184">
        <v>2.6081083333333335</v>
      </c>
      <c r="G31" s="177">
        <v>0</v>
      </c>
      <c r="H31" s="177">
        <v>2132371000</v>
      </c>
      <c r="I31" s="175">
        <v>0</v>
      </c>
      <c r="J31" s="177">
        <v>0</v>
      </c>
      <c r="N31" s="32"/>
      <c r="O31" s="32"/>
      <c r="P31" s="32"/>
      <c r="Q31" s="32"/>
      <c r="R31" s="32"/>
      <c r="S31" s="179"/>
      <c r="T31" s="32"/>
      <c r="U31" s="179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>
      <c r="A32" s="65">
        <v>8925</v>
      </c>
      <c r="B32" s="175">
        <v>-6.36</v>
      </c>
      <c r="C32" s="184">
        <v>2.1973287376130978E-2</v>
      </c>
      <c r="D32" s="177">
        <v>365408805.03144652</v>
      </c>
      <c r="E32" s="26"/>
      <c r="F32" s="184">
        <v>6.3274999999999984E-2</v>
      </c>
      <c r="G32" s="177">
        <v>0</v>
      </c>
      <c r="H32" s="177">
        <v>1935153000</v>
      </c>
      <c r="I32" s="175">
        <v>0</v>
      </c>
      <c r="J32" s="177">
        <v>0</v>
      </c>
      <c r="N32" s="32"/>
      <c r="O32" s="32"/>
      <c r="P32" s="32"/>
      <c r="Q32" s="32"/>
      <c r="R32" s="178"/>
      <c r="S32" s="179"/>
      <c r="T32" s="178"/>
      <c r="U32" s="179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>
      <c r="A33" s="65">
        <v>2374</v>
      </c>
      <c r="B33" s="175">
        <v>0.4</v>
      </c>
      <c r="C33" s="184">
        <v>0</v>
      </c>
      <c r="D33" s="177">
        <v>475000000</v>
      </c>
      <c r="E33" s="26"/>
      <c r="F33" s="184">
        <v>7.2499999999999767E-4</v>
      </c>
      <c r="G33" s="177">
        <v>0</v>
      </c>
      <c r="H33" s="177">
        <v>20395987000</v>
      </c>
      <c r="I33" s="175">
        <v>0</v>
      </c>
      <c r="J33" s="177">
        <v>0</v>
      </c>
      <c r="N33" s="32"/>
      <c r="O33" s="32"/>
      <c r="P33" s="32"/>
      <c r="Q33" s="179"/>
      <c r="R33" s="178"/>
      <c r="S33" s="179"/>
      <c r="T33" s="178"/>
      <c r="U33" s="179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>
      <c r="A34" s="174">
        <v>1613</v>
      </c>
      <c r="B34" s="175">
        <v>-0.15</v>
      </c>
      <c r="C34" s="184">
        <v>0</v>
      </c>
      <c r="D34" s="177">
        <v>226666666.66666669</v>
      </c>
      <c r="E34" s="26"/>
      <c r="F34" s="184">
        <v>1.6150000000000001E-2</v>
      </c>
      <c r="G34" s="177">
        <v>791066666.66666675</v>
      </c>
      <c r="H34" s="177">
        <v>37300857000</v>
      </c>
      <c r="I34" s="175">
        <v>2.1207734360276675E-2</v>
      </c>
      <c r="J34" s="177">
        <v>0</v>
      </c>
      <c r="N34" s="32"/>
      <c r="O34" s="32"/>
      <c r="P34" s="32"/>
      <c r="Q34" s="179"/>
      <c r="R34" s="32"/>
      <c r="S34" s="179"/>
      <c r="T34" s="178"/>
      <c r="U34" s="179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>
      <c r="A35" s="174">
        <v>3312</v>
      </c>
      <c r="B35" s="175">
        <v>-0.48</v>
      </c>
      <c r="C35" s="184">
        <v>0.625</v>
      </c>
      <c r="D35" s="177">
        <v>95833333.333333343</v>
      </c>
      <c r="E35" s="26"/>
      <c r="F35" s="184">
        <v>3.7175E-2</v>
      </c>
      <c r="G35" s="177">
        <v>683291666.66666675</v>
      </c>
      <c r="H35" s="177">
        <v>16429555000</v>
      </c>
      <c r="I35" s="175">
        <v>4.1589176740737456E-2</v>
      </c>
      <c r="J35" s="177">
        <v>0</v>
      </c>
      <c r="N35" s="32"/>
      <c r="O35" s="32"/>
      <c r="P35" s="32"/>
      <c r="Q35" s="32"/>
      <c r="R35" s="32"/>
      <c r="S35" s="179"/>
      <c r="T35" s="178"/>
      <c r="U35" s="179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>
      <c r="A36" s="65">
        <v>3048</v>
      </c>
      <c r="B36" s="175">
        <v>0.56999999999999995</v>
      </c>
      <c r="C36" s="184">
        <v>1</v>
      </c>
      <c r="D36" s="177">
        <v>182456140.3508772</v>
      </c>
      <c r="E36" s="26"/>
      <c r="F36" s="184">
        <v>2.3149999999999993E-2</v>
      </c>
      <c r="G36" s="177">
        <v>3922807017.5438595</v>
      </c>
      <c r="H36" s="177">
        <v>72972425000</v>
      </c>
      <c r="I36" s="175">
        <v>5.3757388733399768E-2</v>
      </c>
      <c r="J36" s="177">
        <v>9.4298245614035103</v>
      </c>
      <c r="N36" s="32"/>
      <c r="O36" s="32"/>
      <c r="P36" s="32"/>
      <c r="Q36" s="32"/>
      <c r="R36" s="32"/>
      <c r="S36" s="179"/>
      <c r="T36" s="178"/>
      <c r="U36" s="179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>
      <c r="A37" s="65">
        <v>8112</v>
      </c>
      <c r="B37" s="175">
        <v>0.28999999999999998</v>
      </c>
      <c r="C37" s="184">
        <v>0.86861313868613144</v>
      </c>
      <c r="D37" s="177">
        <v>293103448.2758621</v>
      </c>
      <c r="E37" s="26"/>
      <c r="F37" s="184">
        <v>7.0349999999999982E-2</v>
      </c>
      <c r="G37" s="177">
        <v>4103448275.8620691</v>
      </c>
      <c r="H37" s="177">
        <v>69525125000</v>
      </c>
      <c r="I37" s="175">
        <v>5.9021084476469032E-2</v>
      </c>
      <c r="J37" s="177">
        <v>13.894523326572008</v>
      </c>
      <c r="N37" s="32"/>
      <c r="O37" s="32"/>
      <c r="P37" s="32"/>
      <c r="Q37" s="179"/>
      <c r="R37" s="178"/>
      <c r="S37" s="179"/>
      <c r="T37" s="178"/>
      <c r="U37" s="179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>
      <c r="A38" s="65">
        <v>3231</v>
      </c>
      <c r="B38" s="175">
        <v>0.03</v>
      </c>
      <c r="C38" s="184">
        <v>0.54625000000000001</v>
      </c>
      <c r="D38" s="177">
        <v>2566666666.666667</v>
      </c>
      <c r="E38" s="26"/>
      <c r="F38" s="184">
        <v>1.1158333333333334E-2</v>
      </c>
      <c r="G38" s="177">
        <v>43376666666.666672</v>
      </c>
      <c r="H38" s="177">
        <v>623727334000</v>
      </c>
      <c r="I38" s="175">
        <v>6.9544277286181386E-2</v>
      </c>
      <c r="J38" s="177">
        <v>50</v>
      </c>
      <c r="N38" s="32"/>
      <c r="O38" s="32"/>
      <c r="P38" s="32"/>
      <c r="Q38" s="179"/>
      <c r="R38" s="178"/>
      <c r="S38" s="179"/>
      <c r="T38" s="178"/>
      <c r="U38" s="179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>
      <c r="A39" s="65">
        <v>6265</v>
      </c>
      <c r="B39" s="175">
        <v>-0.03</v>
      </c>
      <c r="C39" s="184">
        <v>1</v>
      </c>
      <c r="D39" s="177">
        <v>100000000</v>
      </c>
      <c r="E39" s="26"/>
      <c r="F39" s="184">
        <v>1.5008333333333337E-2</v>
      </c>
      <c r="G39" s="177">
        <v>759000000</v>
      </c>
      <c r="H39" s="177">
        <v>9739831000</v>
      </c>
      <c r="I39" s="175">
        <v>7.7927430157669064E-2</v>
      </c>
      <c r="J39" s="177">
        <v>0</v>
      </c>
      <c r="N39" s="32"/>
      <c r="O39" s="32"/>
      <c r="P39" s="32"/>
      <c r="Q39" s="179"/>
      <c r="R39" s="32"/>
      <c r="S39" s="179"/>
      <c r="T39" s="178"/>
      <c r="U39" s="179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>
      <c r="A40" s="65">
        <v>2430</v>
      </c>
      <c r="B40" s="175">
        <v>0.19</v>
      </c>
      <c r="C40" s="184">
        <v>1</v>
      </c>
      <c r="D40" s="177">
        <v>89473684.210526317</v>
      </c>
      <c r="E40" s="26"/>
      <c r="F40" s="184">
        <v>-1.7833333333333301E-3</v>
      </c>
      <c r="G40" s="177">
        <v>1838684210.5263159</v>
      </c>
      <c r="H40" s="177">
        <v>23582961000</v>
      </c>
      <c r="I40" s="175">
        <v>7.7966639156394138E-2</v>
      </c>
      <c r="J40" s="177">
        <v>27.039473684210527</v>
      </c>
      <c r="N40" s="32"/>
      <c r="O40" s="32"/>
      <c r="P40" s="32"/>
      <c r="Q40" s="179"/>
      <c r="R40" s="32"/>
      <c r="S40" s="179"/>
      <c r="T40" s="178"/>
      <c r="U40" s="179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>
      <c r="A41" s="65">
        <v>3360</v>
      </c>
      <c r="B41" s="175">
        <v>0.2</v>
      </c>
      <c r="C41" s="184">
        <v>1</v>
      </c>
      <c r="D41" s="177">
        <v>75000000</v>
      </c>
      <c r="E41" s="26"/>
      <c r="F41" s="184">
        <v>2.6908333333333329E-2</v>
      </c>
      <c r="G41" s="177">
        <v>997500000</v>
      </c>
      <c r="H41" s="177">
        <v>12249172000</v>
      </c>
      <c r="I41" s="175">
        <v>8.143407570732128E-2</v>
      </c>
      <c r="J41" s="177">
        <v>16.625</v>
      </c>
      <c r="N41" s="32"/>
      <c r="O41" s="32"/>
      <c r="P41" s="32"/>
      <c r="Q41" s="179"/>
      <c r="R41" s="32"/>
      <c r="S41" s="179"/>
      <c r="T41" s="178"/>
      <c r="U41" s="179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>
      <c r="A42" s="65">
        <v>5014</v>
      </c>
      <c r="B42" s="175">
        <v>-0.1</v>
      </c>
      <c r="C42" s="184">
        <v>0</v>
      </c>
      <c r="D42" s="177">
        <v>160000000</v>
      </c>
      <c r="E42" s="26"/>
      <c r="F42" s="184">
        <v>6.5274999999999972E-2</v>
      </c>
      <c r="G42" s="177">
        <v>1235200000</v>
      </c>
      <c r="H42" s="177">
        <v>14420879000</v>
      </c>
      <c r="I42" s="175">
        <v>8.5653586026205472E-2</v>
      </c>
      <c r="J42" s="177">
        <v>0</v>
      </c>
      <c r="N42" s="32"/>
      <c r="O42" s="32"/>
      <c r="P42" s="32"/>
      <c r="Q42" s="179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>
      <c r="A43" s="65">
        <v>6118</v>
      </c>
      <c r="B43" s="175">
        <v>0.05</v>
      </c>
      <c r="C43" s="184">
        <v>1</v>
      </c>
      <c r="D43" s="177">
        <v>80000000</v>
      </c>
      <c r="E43" s="26"/>
      <c r="F43" s="184">
        <v>-1.5900000000000001E-2</v>
      </c>
      <c r="G43" s="177">
        <v>660800000</v>
      </c>
      <c r="H43" s="177">
        <v>7472941000</v>
      </c>
      <c r="I43" s="175">
        <v>8.8425694783352368E-2</v>
      </c>
      <c r="J43" s="177">
        <v>41.3</v>
      </c>
      <c r="N43" s="32"/>
      <c r="O43" s="32"/>
      <c r="P43" s="32"/>
      <c r="Q43" s="179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>
      <c r="A44" s="65">
        <v>5384</v>
      </c>
      <c r="B44" s="175">
        <v>0.04</v>
      </c>
      <c r="C44" s="184">
        <v>0.27272727272727271</v>
      </c>
      <c r="D44" s="177">
        <v>75000000</v>
      </c>
      <c r="E44" s="26"/>
      <c r="F44" s="184">
        <v>3.4958333333333334E-2</v>
      </c>
      <c r="G44" s="177">
        <v>1005000000</v>
      </c>
      <c r="H44" s="177">
        <v>11140536000</v>
      </c>
      <c r="I44" s="175">
        <v>9.0211099358235541E-2</v>
      </c>
      <c r="J44" s="177">
        <v>50</v>
      </c>
      <c r="N44" s="32"/>
      <c r="O44" s="32"/>
      <c r="P44" s="178"/>
      <c r="Q44" s="179"/>
      <c r="R44" s="32"/>
      <c r="S44" s="32"/>
      <c r="T44" s="178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>
      <c r="A45" s="65">
        <v>3579</v>
      </c>
      <c r="B45" s="175">
        <v>-1.67</v>
      </c>
      <c r="C45" s="184">
        <v>1</v>
      </c>
      <c r="D45" s="177">
        <v>115568862.27544911</v>
      </c>
      <c r="E45" s="26"/>
      <c r="F45" s="184">
        <v>-7.6250000000000007E-3</v>
      </c>
      <c r="G45" s="177">
        <v>1496616766.4670658</v>
      </c>
      <c r="H45" s="177">
        <v>15715217000</v>
      </c>
      <c r="I45" s="175">
        <v>9.5233604885447382E-2</v>
      </c>
      <c r="J45" s="177">
        <v>0</v>
      </c>
      <c r="N45" s="32"/>
      <c r="O45" s="32"/>
      <c r="P45" s="178"/>
      <c r="Q45" s="179"/>
      <c r="R45" s="32"/>
      <c r="S45" s="32"/>
      <c r="T45" s="178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>
      <c r="A46" s="65">
        <v>2475</v>
      </c>
      <c r="B46" s="175">
        <v>-0.19</v>
      </c>
      <c r="C46" s="184">
        <v>1</v>
      </c>
      <c r="D46" s="177">
        <v>6336842105.2631578</v>
      </c>
      <c r="E46" s="26"/>
      <c r="F46" s="184">
        <v>-8.9499999999999979E-3</v>
      </c>
      <c r="G46" s="177">
        <v>4752631578.9473686</v>
      </c>
      <c r="H46" s="177">
        <v>49746489000</v>
      </c>
      <c r="I46" s="175">
        <v>9.5537025315442239E-2</v>
      </c>
      <c r="J46" s="177">
        <v>0</v>
      </c>
      <c r="N46" s="32"/>
      <c r="O46" s="32"/>
      <c r="P46" s="32"/>
      <c r="Q46" s="179"/>
      <c r="R46" s="32"/>
      <c r="S46" s="32"/>
      <c r="T46" s="178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>
      <c r="A47" s="65">
        <v>2324</v>
      </c>
      <c r="B47" s="175">
        <v>0.35</v>
      </c>
      <c r="C47" s="184">
        <v>1</v>
      </c>
      <c r="D47" s="177">
        <v>4302857142.8571434</v>
      </c>
      <c r="E47" s="26"/>
      <c r="F47" s="184">
        <v>2.4216666666666668E-2</v>
      </c>
      <c r="G47" s="177">
        <v>87993428571.428574</v>
      </c>
      <c r="H47" s="177">
        <v>859570838000</v>
      </c>
      <c r="I47" s="175">
        <v>0.10236902496153386</v>
      </c>
      <c r="J47" s="177">
        <v>14.607142857142858</v>
      </c>
      <c r="N47" s="32"/>
      <c r="O47" s="32"/>
      <c r="P47" s="32"/>
      <c r="Q47" s="179"/>
      <c r="R47" s="32"/>
      <c r="S47" s="32"/>
      <c r="T47" s="178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>
      <c r="A48" s="65">
        <v>3209</v>
      </c>
      <c r="B48" s="175">
        <v>0.44</v>
      </c>
      <c r="C48" s="184">
        <v>1</v>
      </c>
      <c r="D48" s="177">
        <v>104545454.54545455</v>
      </c>
      <c r="E48" s="26"/>
      <c r="F48" s="184">
        <v>2.3900000000000005E-2</v>
      </c>
      <c r="G48" s="177">
        <v>2634545454.5454545</v>
      </c>
      <c r="H48" s="177">
        <v>23644239000</v>
      </c>
      <c r="I48" s="175">
        <v>0.11142441313274894</v>
      </c>
      <c r="J48" s="177">
        <v>14.318181818181818</v>
      </c>
      <c r="N48" s="32"/>
      <c r="O48" s="32"/>
      <c r="P48" s="32"/>
      <c r="Q48" s="179"/>
      <c r="R48" s="32"/>
      <c r="S48" s="32"/>
      <c r="T48" s="178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>
      <c r="A49" s="65">
        <v>2038</v>
      </c>
      <c r="B49" s="175">
        <v>0.06</v>
      </c>
      <c r="C49" s="184">
        <v>1</v>
      </c>
      <c r="D49" s="177">
        <v>166666666.66666669</v>
      </c>
      <c r="E49" s="26"/>
      <c r="F49" s="184">
        <v>-1.3750000000000012E-3</v>
      </c>
      <c r="G49" s="177">
        <v>966666666.66666675</v>
      </c>
      <c r="H49" s="177">
        <v>8575253000</v>
      </c>
      <c r="I49" s="175">
        <v>0.11272748065470101</v>
      </c>
      <c r="J49" s="177">
        <v>24.166666666666668</v>
      </c>
      <c r="N49" s="32"/>
      <c r="O49" s="32"/>
      <c r="P49" s="178"/>
      <c r="Q49" s="179"/>
      <c r="R49" s="32"/>
      <c r="S49" s="32"/>
      <c r="T49" s="178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>
      <c r="A50" s="65">
        <v>3702</v>
      </c>
      <c r="B50" s="175">
        <v>0.7</v>
      </c>
      <c r="C50" s="184">
        <v>1</v>
      </c>
      <c r="D50" s="177">
        <v>1658571428.5714288</v>
      </c>
      <c r="E50" s="26"/>
      <c r="F50" s="184">
        <v>3.1199999999999992E-2</v>
      </c>
      <c r="G50" s="177">
        <v>56059714285.714287</v>
      </c>
      <c r="H50" s="177">
        <v>490144725000</v>
      </c>
      <c r="I50" s="175">
        <v>0.11437379905642009</v>
      </c>
      <c r="J50" s="177">
        <v>12.071428571428571</v>
      </c>
      <c r="N50" s="32"/>
      <c r="O50" s="32"/>
      <c r="P50" s="178"/>
      <c r="Q50" s="179"/>
      <c r="R50" s="32"/>
      <c r="S50" s="32"/>
      <c r="T50" s="178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>
      <c r="A51" s="65">
        <v>5469</v>
      </c>
      <c r="B51" s="175">
        <v>0.16</v>
      </c>
      <c r="C51" s="184">
        <v>0</v>
      </c>
      <c r="D51" s="177">
        <v>456250000</v>
      </c>
      <c r="E51" s="26"/>
      <c r="F51" s="184">
        <v>-4.1333333333333335E-3</v>
      </c>
      <c r="G51" s="177">
        <v>4904687500</v>
      </c>
      <c r="H51" s="177">
        <v>41840293000</v>
      </c>
      <c r="I51" s="175">
        <v>0.11722402374189875</v>
      </c>
      <c r="J51" s="177">
        <v>0</v>
      </c>
      <c r="N51" s="32"/>
      <c r="O51" s="32"/>
      <c r="P51" s="32"/>
      <c r="Q51" s="179"/>
      <c r="R51" s="32"/>
      <c r="S51" s="32"/>
      <c r="T51" s="178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>
      <c r="A52" s="65">
        <v>2028</v>
      </c>
      <c r="B52" s="175">
        <v>-0.65</v>
      </c>
      <c r="C52" s="184">
        <v>0.89485981308411211</v>
      </c>
      <c r="D52" s="177">
        <v>343076923.07692307</v>
      </c>
      <c r="E52" s="26"/>
      <c r="F52" s="184">
        <v>-6.9633333333333339E-2</v>
      </c>
      <c r="G52" s="177">
        <v>850830769.23076916</v>
      </c>
      <c r="H52" s="177">
        <v>7096444000</v>
      </c>
      <c r="I52" s="175">
        <v>0.11989536861430446</v>
      </c>
      <c r="J52" s="177">
        <v>0</v>
      </c>
      <c r="N52" s="32"/>
      <c r="O52" s="32"/>
      <c r="P52" s="32"/>
      <c r="Q52" s="179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>
      <c r="A53" s="65">
        <v>6148</v>
      </c>
      <c r="B53" s="175">
        <v>0.06</v>
      </c>
      <c r="C53" s="184">
        <v>1</v>
      </c>
      <c r="D53" s="177">
        <v>83333333.333333343</v>
      </c>
      <c r="E53" s="26"/>
      <c r="F53" s="184">
        <v>9.7658333333333333E-2</v>
      </c>
      <c r="G53" s="177">
        <v>643333333.33333337</v>
      </c>
      <c r="H53" s="177">
        <v>5298093000</v>
      </c>
      <c r="I53" s="175">
        <v>0.12142733872986627</v>
      </c>
      <c r="J53" s="177">
        <v>32.166666666666664</v>
      </c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>
      <c r="A54" s="65">
        <v>8096</v>
      </c>
      <c r="B54" s="175">
        <v>0.05</v>
      </c>
      <c r="C54" s="184">
        <v>1</v>
      </c>
      <c r="D54" s="177">
        <v>140000000</v>
      </c>
      <c r="E54" s="26"/>
      <c r="F54" s="184">
        <v>0.19520000000000004</v>
      </c>
      <c r="G54" s="177">
        <v>3941000000</v>
      </c>
      <c r="H54" s="177">
        <v>32346305000</v>
      </c>
      <c r="I54" s="175">
        <v>0.12183771840400318</v>
      </c>
      <c r="J54" s="177">
        <v>50</v>
      </c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>
      <c r="A55" s="65">
        <v>1785</v>
      </c>
      <c r="B55" s="175">
        <v>0.27</v>
      </c>
      <c r="C55" s="184">
        <v>0</v>
      </c>
      <c r="D55" s="177">
        <v>411111111.1111111</v>
      </c>
      <c r="E55" s="26"/>
      <c r="F55" s="184">
        <v>5.4825000000000006E-2</v>
      </c>
      <c r="G55" s="177">
        <v>8612777777.7777767</v>
      </c>
      <c r="H55" s="177">
        <v>66255933000</v>
      </c>
      <c r="I55" s="175">
        <v>0.12999255142596478</v>
      </c>
      <c r="J55" s="177">
        <v>0</v>
      </c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>
      <c r="A56" s="65">
        <v>3315</v>
      </c>
      <c r="B56" s="175">
        <v>-0.55000000000000004</v>
      </c>
      <c r="C56" s="184">
        <v>0.36666666666666664</v>
      </c>
      <c r="D56" s="177">
        <v>70909090.909090906</v>
      </c>
      <c r="E56" s="26"/>
      <c r="F56" s="184">
        <v>4.3258333333333322E-2</v>
      </c>
      <c r="G56" s="177">
        <v>1170000000</v>
      </c>
      <c r="H56" s="177">
        <v>8979979000</v>
      </c>
      <c r="I56" s="175">
        <v>0.13028983698068783</v>
      </c>
      <c r="J56" s="177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>
      <c r="A57" s="65">
        <v>2371</v>
      </c>
      <c r="B57" s="175">
        <v>-0.25</v>
      </c>
      <c r="C57" s="184">
        <v>1</v>
      </c>
      <c r="D57" s="177">
        <v>2292000000</v>
      </c>
      <c r="E57" s="26"/>
      <c r="F57" s="184">
        <v>-3.6500000000000018E-3</v>
      </c>
      <c r="G57" s="177">
        <v>13476960000</v>
      </c>
      <c r="H57" s="177">
        <v>99655309000</v>
      </c>
      <c r="I57" s="175">
        <v>0.13523574544332606</v>
      </c>
      <c r="J57" s="177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>
      <c r="A58" s="65">
        <v>3036</v>
      </c>
      <c r="B58" s="175">
        <v>1.0900000000000001</v>
      </c>
      <c r="C58" s="184">
        <v>1</v>
      </c>
      <c r="D58" s="177">
        <v>447706422.01834857</v>
      </c>
      <c r="E58" s="26"/>
      <c r="F58" s="184">
        <v>1.1950000000000002E-2</v>
      </c>
      <c r="G58" s="177">
        <v>16386055045.871559</v>
      </c>
      <c r="H58" s="177">
        <v>116349831000</v>
      </c>
      <c r="I58" s="175">
        <v>0.14083436911800551</v>
      </c>
      <c r="J58" s="177">
        <v>8.3944954128440372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>
      <c r="A59" s="65">
        <v>3033</v>
      </c>
      <c r="B59" s="175">
        <v>0.4</v>
      </c>
      <c r="C59" s="184">
        <v>1</v>
      </c>
      <c r="D59" s="177">
        <v>272500000</v>
      </c>
      <c r="E59" s="26"/>
      <c r="F59" s="184">
        <v>3.9683333333333327E-2</v>
      </c>
      <c r="G59" s="177">
        <v>5436375000</v>
      </c>
      <c r="H59" s="177">
        <v>38502053000</v>
      </c>
      <c r="I59" s="175">
        <v>0.14119701616950139</v>
      </c>
      <c r="J59" s="177">
        <v>12.468749999999998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>
      <c r="A60" s="65">
        <v>6145</v>
      </c>
      <c r="B60" s="175">
        <v>0.01</v>
      </c>
      <c r="C60" s="184">
        <v>0.37614678899082571</v>
      </c>
      <c r="D60" s="177">
        <v>100000000</v>
      </c>
      <c r="E60" s="26"/>
      <c r="F60" s="184">
        <v>7.1383333333333326E-2</v>
      </c>
      <c r="G60" s="177">
        <v>1350000000</v>
      </c>
      <c r="H60" s="177">
        <v>9500166000</v>
      </c>
      <c r="I60" s="175">
        <v>0.14210278009878985</v>
      </c>
      <c r="J60" s="177">
        <v>50</v>
      </c>
      <c r="P60" s="176"/>
      <c r="Q60" s="176"/>
      <c r="R60" s="176"/>
      <c r="S60" s="176"/>
      <c r="T60" s="176"/>
      <c r="U60" s="176"/>
      <c r="V60" s="176"/>
      <c r="W60" s="176"/>
    </row>
    <row r="61" spans="1:30">
      <c r="A61" s="65">
        <v>3028</v>
      </c>
      <c r="B61" s="175">
        <v>0.27</v>
      </c>
      <c r="C61" s="184">
        <v>1</v>
      </c>
      <c r="D61" s="177">
        <v>211111111.1111111</v>
      </c>
      <c r="E61" s="26"/>
      <c r="F61" s="184">
        <v>1.286666666666666E-2</v>
      </c>
      <c r="G61" s="177">
        <v>3483333333.333333</v>
      </c>
      <c r="H61" s="177">
        <v>24250210000</v>
      </c>
      <c r="I61" s="175">
        <v>0.1436413677792206</v>
      </c>
      <c r="J61" s="177">
        <v>15.277777777777777</v>
      </c>
      <c r="P61" s="176"/>
      <c r="Q61" s="176"/>
      <c r="R61" s="176"/>
      <c r="S61" s="176"/>
      <c r="T61" s="176"/>
      <c r="U61" s="176"/>
      <c r="V61" s="176"/>
      <c r="W61" s="176"/>
    </row>
    <row r="62" spans="1:30">
      <c r="A62" s="65">
        <v>2353</v>
      </c>
      <c r="B62" s="175">
        <v>0</v>
      </c>
      <c r="C62" s="184">
        <v>0</v>
      </c>
      <c r="D62" s="177">
        <v>3085400000</v>
      </c>
      <c r="E62" s="26"/>
      <c r="F62" s="184">
        <v>3.0575000000000008E-2</v>
      </c>
      <c r="G62" s="177">
        <v>41190090000</v>
      </c>
      <c r="H62" s="177">
        <v>281167537000</v>
      </c>
      <c r="I62" s="175">
        <v>0.14649660639876785</v>
      </c>
      <c r="J62" s="177">
        <v>0</v>
      </c>
      <c r="P62" s="176"/>
      <c r="Q62" s="176"/>
      <c r="R62" s="176"/>
      <c r="S62" s="176"/>
      <c r="T62" s="176"/>
      <c r="U62" s="176"/>
      <c r="V62" s="176"/>
      <c r="W62" s="176"/>
    </row>
    <row r="63" spans="1:30">
      <c r="A63" s="65">
        <v>2516</v>
      </c>
      <c r="B63" s="175">
        <v>0.1</v>
      </c>
      <c r="C63" s="184">
        <v>1</v>
      </c>
      <c r="D63" s="177">
        <v>220000000</v>
      </c>
      <c r="E63" s="26"/>
      <c r="F63" s="184">
        <v>-4.8799999999999989E-2</v>
      </c>
      <c r="G63" s="177">
        <v>1480600000</v>
      </c>
      <c r="H63" s="177">
        <v>10074489000</v>
      </c>
      <c r="I63" s="175">
        <v>0.14696527039733728</v>
      </c>
      <c r="J63" s="177">
        <v>16.824999999999999</v>
      </c>
      <c r="P63" s="176"/>
      <c r="Q63" s="176"/>
      <c r="R63" s="176"/>
      <c r="S63" s="176"/>
      <c r="T63" s="176"/>
      <c r="U63" s="176"/>
      <c r="V63" s="176"/>
      <c r="W63" s="176"/>
    </row>
    <row r="64" spans="1:30">
      <c r="A64" s="65">
        <v>6150</v>
      </c>
      <c r="B64" s="175">
        <v>-2.27</v>
      </c>
      <c r="C64" s="184">
        <v>0.86923076923076925</v>
      </c>
      <c r="D64" s="177">
        <v>50660792.951541848</v>
      </c>
      <c r="E64" s="26"/>
      <c r="F64" s="184">
        <v>2.7158333333333329E-2</v>
      </c>
      <c r="G64" s="177">
        <v>396167400.88105726</v>
      </c>
      <c r="H64" s="177">
        <v>2662660000</v>
      </c>
      <c r="I64" s="175">
        <v>0.14878632678639303</v>
      </c>
      <c r="J64" s="177">
        <v>0</v>
      </c>
    </row>
    <row r="65" spans="1:10">
      <c r="A65" s="65">
        <v>2616</v>
      </c>
      <c r="B65" s="175">
        <v>0.5</v>
      </c>
      <c r="C65" s="184">
        <v>0.82653061224489799</v>
      </c>
      <c r="D65" s="177">
        <v>112000000</v>
      </c>
      <c r="E65" s="26"/>
      <c r="F65" s="184">
        <v>-1.9666666666666666E-2</v>
      </c>
      <c r="G65" s="177">
        <v>2536800000</v>
      </c>
      <c r="H65" s="177">
        <v>16809389000</v>
      </c>
      <c r="I65" s="175">
        <v>0.15091565790999303</v>
      </c>
      <c r="J65" s="177">
        <v>13.701851851851851</v>
      </c>
    </row>
    <row r="66" spans="1:10">
      <c r="A66" s="65">
        <v>3095</v>
      </c>
      <c r="B66" s="175">
        <v>-1.1100000000000001</v>
      </c>
      <c r="C66" s="184">
        <v>1</v>
      </c>
      <c r="D66" s="177">
        <v>109009009.009009</v>
      </c>
      <c r="E66" s="26"/>
      <c r="F66" s="184">
        <v>2.684166666666667E-2</v>
      </c>
      <c r="G66" s="177">
        <v>780504504.50450444</v>
      </c>
      <c r="H66" s="177">
        <v>5142456000</v>
      </c>
      <c r="I66" s="175">
        <v>0.15177660333982526</v>
      </c>
      <c r="J66" s="177">
        <v>0</v>
      </c>
    </row>
    <row r="67" spans="1:10">
      <c r="A67" s="65">
        <v>8287</v>
      </c>
      <c r="B67" s="175">
        <v>0.19</v>
      </c>
      <c r="C67" s="184">
        <v>1</v>
      </c>
      <c r="D67" s="177">
        <v>142105263.15789473</v>
      </c>
      <c r="E67" s="26"/>
      <c r="F67" s="184">
        <v>1.3891666666666665E-2</v>
      </c>
      <c r="G67" s="177">
        <v>2351842105.2631578</v>
      </c>
      <c r="H67" s="177">
        <v>15072436000</v>
      </c>
      <c r="I67" s="175">
        <v>0.15603596560391153</v>
      </c>
      <c r="J67" s="177">
        <v>21.776315789473685</v>
      </c>
    </row>
    <row r="68" spans="1:10">
      <c r="A68" s="65">
        <v>6191</v>
      </c>
      <c r="B68" s="175">
        <v>0.14000000000000001</v>
      </c>
      <c r="C68" s="184">
        <v>1</v>
      </c>
      <c r="D68" s="177">
        <v>521428571.4285714</v>
      </c>
      <c r="E68" s="26"/>
      <c r="F68" s="184">
        <v>-6.808333333333332E-3</v>
      </c>
      <c r="G68" s="177">
        <v>3780357142.8571424</v>
      </c>
      <c r="H68" s="177">
        <v>24104882000</v>
      </c>
      <c r="I68" s="175">
        <v>0.15682952286831947</v>
      </c>
      <c r="J68" s="177">
        <v>12.946428571428569</v>
      </c>
    </row>
    <row r="69" spans="1:10">
      <c r="A69" s="65">
        <v>6190</v>
      </c>
      <c r="B69" s="175">
        <v>-0.01</v>
      </c>
      <c r="C69" s="184">
        <v>1</v>
      </c>
      <c r="D69" s="177">
        <v>100000000</v>
      </c>
      <c r="E69" s="26"/>
      <c r="F69" s="184">
        <v>-5.583333333333329E-3</v>
      </c>
      <c r="G69" s="177">
        <v>646000000</v>
      </c>
      <c r="H69" s="177">
        <v>4062912000</v>
      </c>
      <c r="I69" s="175">
        <v>0.15899925964431422</v>
      </c>
      <c r="J69" s="177">
        <v>0</v>
      </c>
    </row>
    <row r="70" spans="1:10">
      <c r="A70" s="65">
        <v>5609</v>
      </c>
      <c r="B70" s="175">
        <v>0.56000000000000005</v>
      </c>
      <c r="C70" s="184">
        <v>0.7722772277227723</v>
      </c>
      <c r="D70" s="177">
        <v>128571428.57142855</v>
      </c>
      <c r="E70" s="26"/>
      <c r="F70" s="184">
        <v>-9.4999999999999653E-4</v>
      </c>
      <c r="G70" s="177">
        <v>2410714285.7142854</v>
      </c>
      <c r="H70" s="177">
        <v>14976568000</v>
      </c>
      <c r="I70" s="175">
        <v>0.16096573565547764</v>
      </c>
      <c r="J70" s="177">
        <v>10.838770604395602</v>
      </c>
    </row>
    <row r="71" spans="1:10">
      <c r="A71" s="65">
        <v>1714</v>
      </c>
      <c r="B71" s="175">
        <v>0.22</v>
      </c>
      <c r="C71" s="184">
        <v>1</v>
      </c>
      <c r="D71" s="177">
        <v>950000000</v>
      </c>
      <c r="E71" s="26"/>
      <c r="F71" s="184">
        <v>-3.7658333333333335E-2</v>
      </c>
      <c r="G71" s="177">
        <v>7343500000</v>
      </c>
      <c r="H71" s="177">
        <v>45560536000</v>
      </c>
      <c r="I71" s="175">
        <v>0.16118115906274677</v>
      </c>
      <c r="J71" s="177">
        <v>8.7840909090909101</v>
      </c>
    </row>
    <row r="72" spans="1:10">
      <c r="A72" s="65">
        <v>2352</v>
      </c>
      <c r="B72" s="175">
        <v>0.37</v>
      </c>
      <c r="C72" s="184">
        <v>0.45820895522388061</v>
      </c>
      <c r="D72" s="177">
        <v>1945945945.945946</v>
      </c>
      <c r="E72" s="26"/>
      <c r="F72" s="184">
        <v>7.7499999999999911E-4</v>
      </c>
      <c r="G72" s="177">
        <v>21697297297.297298</v>
      </c>
      <c r="H72" s="177">
        <v>133829016000</v>
      </c>
      <c r="I72" s="175">
        <v>0.16212700314031525</v>
      </c>
      <c r="J72" s="177">
        <v>16.441808257769171</v>
      </c>
    </row>
    <row r="73" spans="1:10">
      <c r="A73" s="65">
        <v>8101</v>
      </c>
      <c r="B73" s="175">
        <v>-0.21</v>
      </c>
      <c r="C73" s="184">
        <v>0.25974025974025972</v>
      </c>
      <c r="D73" s="177">
        <v>414285714.28571433</v>
      </c>
      <c r="E73" s="26"/>
      <c r="F73" s="184">
        <v>2.9249999999999832E-3</v>
      </c>
      <c r="G73" s="177">
        <v>3828000000.0000005</v>
      </c>
      <c r="H73" s="177">
        <v>23317561000</v>
      </c>
      <c r="I73" s="175">
        <v>0.16416811346606966</v>
      </c>
      <c r="J73" s="177">
        <v>0</v>
      </c>
    </row>
    <row r="74" spans="1:10">
      <c r="A74" s="65">
        <v>1210</v>
      </c>
      <c r="B74" s="180">
        <v>0.14000000000000001</v>
      </c>
      <c r="C74" s="184">
        <v>1</v>
      </c>
      <c r="D74" s="181">
        <v>699999999.99999988</v>
      </c>
      <c r="E74" s="179"/>
      <c r="F74" s="184">
        <v>-6.7166666666666659E-3</v>
      </c>
      <c r="G74" s="181">
        <v>13999999999.999998</v>
      </c>
      <c r="H74" s="181">
        <v>83649814000</v>
      </c>
      <c r="I74" s="180">
        <v>0.16736438887957358</v>
      </c>
      <c r="J74" s="181">
        <v>35.714285714285708</v>
      </c>
    </row>
    <row r="75" spans="1:10">
      <c r="A75" s="65">
        <v>1309</v>
      </c>
      <c r="B75" s="175">
        <v>0.57999999999999996</v>
      </c>
      <c r="C75" s="184">
        <v>1</v>
      </c>
      <c r="D75" s="177">
        <v>327586206.89655173</v>
      </c>
      <c r="E75" s="26"/>
      <c r="F75" s="184">
        <v>-1.4091666666666664E-2</v>
      </c>
      <c r="G75" s="177">
        <v>2974482758.6206899</v>
      </c>
      <c r="H75" s="177">
        <v>17714660000</v>
      </c>
      <c r="I75" s="175">
        <v>0.1679108014842334</v>
      </c>
      <c r="J75" s="177">
        <v>3.9137931034482762</v>
      </c>
    </row>
    <row r="76" spans="1:10">
      <c r="A76" s="65">
        <v>8171</v>
      </c>
      <c r="B76" s="175">
        <v>-0.72</v>
      </c>
      <c r="C76" s="184">
        <v>0.83333333333333337</v>
      </c>
      <c r="D76" s="177">
        <v>51388888.888888888</v>
      </c>
      <c r="E76" s="26"/>
      <c r="F76" s="184">
        <v>2.331666666666667E-2</v>
      </c>
      <c r="G76" s="177">
        <v>422930555.55555558</v>
      </c>
      <c r="H76" s="177">
        <v>2503086000</v>
      </c>
      <c r="I76" s="175">
        <v>0.16896365348835621</v>
      </c>
      <c r="J76" s="177">
        <v>0</v>
      </c>
    </row>
    <row r="77" spans="1:10">
      <c r="A77" s="65">
        <v>4973</v>
      </c>
      <c r="B77" s="175">
        <v>-0.55000000000000004</v>
      </c>
      <c r="C77" s="184">
        <v>0.375</v>
      </c>
      <c r="D77" s="177">
        <v>63636363.636363633</v>
      </c>
      <c r="E77" s="26"/>
      <c r="F77" s="184">
        <v>-1.7575000000000004E-2</v>
      </c>
      <c r="G77" s="177">
        <v>1050000000</v>
      </c>
      <c r="H77" s="177">
        <v>6095891000</v>
      </c>
      <c r="I77" s="175">
        <v>0.17224717436712697</v>
      </c>
      <c r="J77" s="177">
        <v>0</v>
      </c>
    </row>
    <row r="78" spans="1:10">
      <c r="A78" s="65">
        <v>4930</v>
      </c>
      <c r="B78" s="175">
        <v>-0.41</v>
      </c>
      <c r="C78" s="184">
        <v>1</v>
      </c>
      <c r="D78" s="177">
        <v>134146341.46341464</v>
      </c>
      <c r="E78" s="26"/>
      <c r="F78" s="184">
        <v>1.9258333333333329E-2</v>
      </c>
      <c r="G78" s="177">
        <v>2428048780.4878054</v>
      </c>
      <c r="H78" s="177">
        <v>14071946000</v>
      </c>
      <c r="I78" s="175">
        <v>0.17254534522004314</v>
      </c>
      <c r="J78" s="177">
        <v>0</v>
      </c>
    </row>
    <row r="79" spans="1:10">
      <c r="A79" s="65">
        <v>4938</v>
      </c>
      <c r="B79" s="175">
        <v>1.82</v>
      </c>
      <c r="C79" s="184">
        <v>0.81964675892206851</v>
      </c>
      <c r="D79" s="177">
        <v>2558241758.2417583</v>
      </c>
      <c r="E79" s="26"/>
      <c r="F79" s="184">
        <v>8.0266666666666639E-2</v>
      </c>
      <c r="G79" s="177">
        <v>209520000000.00003</v>
      </c>
      <c r="H79" s="177">
        <v>1209035021000</v>
      </c>
      <c r="I79" s="175">
        <v>0.17329522831084315</v>
      </c>
      <c r="J79" s="177">
        <v>13.72542485838054</v>
      </c>
    </row>
    <row r="80" spans="1:10">
      <c r="A80" s="65">
        <v>2414</v>
      </c>
      <c r="B80" s="175">
        <v>0.25</v>
      </c>
      <c r="C80" s="184">
        <v>1</v>
      </c>
      <c r="D80" s="177">
        <v>164000000</v>
      </c>
      <c r="E80" s="26"/>
      <c r="F80" s="184">
        <v>1.3441666666666664E-2</v>
      </c>
      <c r="G80" s="177">
        <v>2681400000</v>
      </c>
      <c r="H80" s="177">
        <v>15427712000</v>
      </c>
      <c r="I80" s="175">
        <v>0.17380412597798039</v>
      </c>
      <c r="J80" s="177">
        <v>16.350000000000001</v>
      </c>
    </row>
    <row r="81" spans="1:10">
      <c r="A81" s="65">
        <v>6152</v>
      </c>
      <c r="B81" s="175">
        <v>-0.6</v>
      </c>
      <c r="C81" s="184">
        <v>0.9726027397260274</v>
      </c>
      <c r="D81" s="177">
        <v>170000000</v>
      </c>
      <c r="E81" s="26"/>
      <c r="F81" s="184">
        <v>3.6166666666666673E-2</v>
      </c>
      <c r="G81" s="177">
        <v>1412700000</v>
      </c>
      <c r="H81" s="177">
        <v>8103920000</v>
      </c>
      <c r="I81" s="175">
        <v>0.17432304366281998</v>
      </c>
      <c r="J81" s="177">
        <v>0</v>
      </c>
    </row>
    <row r="82" spans="1:10">
      <c r="A82" s="65">
        <v>2347</v>
      </c>
      <c r="B82" s="175">
        <v>0.82</v>
      </c>
      <c r="C82" s="184">
        <v>0.54456654456654452</v>
      </c>
      <c r="D82" s="177">
        <v>1585365853.6585367</v>
      </c>
      <c r="E82" s="26"/>
      <c r="F82" s="184">
        <v>2.9266666666666673E-2</v>
      </c>
      <c r="G82" s="177">
        <v>55487804878.048782</v>
      </c>
      <c r="H82" s="177">
        <v>316371540000</v>
      </c>
      <c r="I82" s="175">
        <v>0.17538810500479526</v>
      </c>
      <c r="J82" s="177">
        <v>19.594908673301983</v>
      </c>
    </row>
    <row r="83" spans="1:10">
      <c r="A83" s="65">
        <v>5386</v>
      </c>
      <c r="B83" s="175">
        <v>1.07</v>
      </c>
      <c r="C83" s="184">
        <v>1</v>
      </c>
      <c r="D83" s="177">
        <v>12149532.710280374</v>
      </c>
      <c r="E83" s="26"/>
      <c r="F83" s="184">
        <v>0.32258333333333333</v>
      </c>
      <c r="G83" s="177">
        <v>315280373.83177567</v>
      </c>
      <c r="H83" s="177">
        <v>1791397000</v>
      </c>
      <c r="I83" s="175">
        <v>0.17599693079299322</v>
      </c>
      <c r="J83" s="177">
        <v>6.0630841121495322</v>
      </c>
    </row>
    <row r="84" spans="1:10">
      <c r="A84" s="65">
        <v>1609</v>
      </c>
      <c r="B84" s="175">
        <v>-0.24</v>
      </c>
      <c r="C84" s="184">
        <v>0.97297297297297303</v>
      </c>
      <c r="D84" s="177">
        <v>570833333.33333337</v>
      </c>
      <c r="E84" s="26"/>
      <c r="F84" s="184">
        <v>2.9658333333333332E-2</v>
      </c>
      <c r="G84" s="177">
        <v>2854166666.666667</v>
      </c>
      <c r="H84" s="177">
        <v>15683185000</v>
      </c>
      <c r="I84" s="175">
        <v>0.181988968864849</v>
      </c>
      <c r="J84" s="177">
        <v>0</v>
      </c>
    </row>
    <row r="85" spans="1:10">
      <c r="A85" s="65">
        <v>2356</v>
      </c>
      <c r="B85" s="175">
        <v>0.32</v>
      </c>
      <c r="C85" s="184">
        <v>0.83568433091879524</v>
      </c>
      <c r="D85" s="177">
        <v>3656250000</v>
      </c>
      <c r="E85" s="26"/>
      <c r="F85" s="184">
        <v>6.4583333333333376E-3</v>
      </c>
      <c r="G85" s="177">
        <v>72942187500</v>
      </c>
      <c r="H85" s="177">
        <v>396505693000</v>
      </c>
      <c r="I85" s="175">
        <v>0.1839625225759369</v>
      </c>
      <c r="J85" s="177">
        <v>18.650508240191606</v>
      </c>
    </row>
    <row r="86" spans="1:10">
      <c r="A86" s="65">
        <v>1605</v>
      </c>
      <c r="B86" s="175">
        <v>0.2</v>
      </c>
      <c r="C86" s="184">
        <v>0.55836575875486383</v>
      </c>
      <c r="D86" s="177">
        <v>3550000000</v>
      </c>
      <c r="E86" s="26"/>
      <c r="F86" s="184">
        <v>5.4833333333333305E-3</v>
      </c>
      <c r="G86" s="177">
        <v>27619000000</v>
      </c>
      <c r="H86" s="177">
        <v>149284728000</v>
      </c>
      <c r="I86" s="175">
        <v>0.18500887780027975</v>
      </c>
      <c r="J86" s="177">
        <v>17.416898954703832</v>
      </c>
    </row>
    <row r="87" spans="1:10">
      <c r="A87" s="65">
        <v>6170</v>
      </c>
      <c r="B87" s="175">
        <v>0.04</v>
      </c>
      <c r="C87" s="184">
        <v>1</v>
      </c>
      <c r="D87" s="177">
        <v>75000000</v>
      </c>
      <c r="E87" s="26"/>
      <c r="F87" s="184">
        <v>-1.4916666666666667E-2</v>
      </c>
      <c r="G87" s="177">
        <v>683250000</v>
      </c>
      <c r="H87" s="177">
        <v>3684023000</v>
      </c>
      <c r="I87" s="175">
        <v>0.18546301149585656</v>
      </c>
      <c r="J87" s="177">
        <v>50</v>
      </c>
    </row>
    <row r="88" spans="1:10">
      <c r="A88" s="65">
        <v>3584</v>
      </c>
      <c r="B88" s="175">
        <v>-2.61</v>
      </c>
      <c r="C88" s="184">
        <v>0.93931398416886547</v>
      </c>
      <c r="D88" s="177">
        <v>140996168.5823755</v>
      </c>
      <c r="E88" s="26"/>
      <c r="F88" s="184">
        <v>-5.4891666666666672E-2</v>
      </c>
      <c r="G88" s="177">
        <v>1216796934.8659008</v>
      </c>
      <c r="H88" s="177">
        <v>6349180000</v>
      </c>
      <c r="I88" s="175">
        <v>0.19164631257357656</v>
      </c>
      <c r="J88" s="177">
        <v>0</v>
      </c>
    </row>
    <row r="89" spans="1:10">
      <c r="A89" s="65">
        <v>8053</v>
      </c>
      <c r="B89" s="175">
        <v>-0.19</v>
      </c>
      <c r="C89" s="184">
        <v>1</v>
      </c>
      <c r="D89" s="177">
        <v>415789473.68421054</v>
      </c>
      <c r="E89" s="26"/>
      <c r="F89" s="184">
        <v>-1.1666666666666423E-4</v>
      </c>
      <c r="G89" s="177">
        <v>731789473.68421054</v>
      </c>
      <c r="H89" s="177">
        <v>3808394000</v>
      </c>
      <c r="I89" s="175">
        <v>0.19215172423972166</v>
      </c>
      <c r="J89" s="177">
        <v>0</v>
      </c>
    </row>
    <row r="90" spans="1:10">
      <c r="A90" s="65">
        <v>2321</v>
      </c>
      <c r="B90" s="175">
        <v>-0.15</v>
      </c>
      <c r="C90" s="184">
        <v>1</v>
      </c>
      <c r="D90" s="177">
        <v>286666666.66666669</v>
      </c>
      <c r="E90" s="26"/>
      <c r="F90" s="184">
        <v>6.801666666666667E-2</v>
      </c>
      <c r="G90" s="177">
        <v>825600000</v>
      </c>
      <c r="H90" s="177">
        <v>4293171000</v>
      </c>
      <c r="I90" s="175">
        <v>0.19230540782093236</v>
      </c>
      <c r="J90" s="177">
        <v>0</v>
      </c>
    </row>
    <row r="91" spans="1:10">
      <c r="A91" s="65">
        <v>6196</v>
      </c>
      <c r="B91" s="175">
        <v>0.48</v>
      </c>
      <c r="C91" s="184">
        <v>1</v>
      </c>
      <c r="D91" s="177">
        <v>164583333.33333334</v>
      </c>
      <c r="E91" s="26"/>
      <c r="F91" s="184">
        <v>5.6091666666666672E-2</v>
      </c>
      <c r="G91" s="177">
        <v>3505625000.0000005</v>
      </c>
      <c r="H91" s="177">
        <v>17915961000</v>
      </c>
      <c r="I91" s="175">
        <v>0.1956704973849854</v>
      </c>
      <c r="J91" s="177">
        <v>11.09375</v>
      </c>
    </row>
    <row r="92" spans="1:10">
      <c r="A92" s="65">
        <v>3562</v>
      </c>
      <c r="B92" s="175">
        <v>0.24</v>
      </c>
      <c r="C92" s="184">
        <v>1</v>
      </c>
      <c r="D92" s="177">
        <v>54166666.666666672</v>
      </c>
      <c r="E92" s="26"/>
      <c r="F92" s="184">
        <v>8.7916666666666685E-2</v>
      </c>
      <c r="G92" s="177">
        <v>210166666.66666669</v>
      </c>
      <c r="H92" s="177">
        <v>1030146000</v>
      </c>
      <c r="I92" s="175">
        <v>0.20401638861546489</v>
      </c>
      <c r="J92" s="177">
        <v>4.041666666666667</v>
      </c>
    </row>
    <row r="93" spans="1:10">
      <c r="A93" s="65">
        <v>5491</v>
      </c>
      <c r="B93" s="175">
        <v>-0.63</v>
      </c>
      <c r="C93" s="184">
        <v>0.68794326241134751</v>
      </c>
      <c r="D93" s="177">
        <v>217460317.46031746</v>
      </c>
      <c r="E93" s="26"/>
      <c r="F93" s="184">
        <v>1.9166666666666984E-4</v>
      </c>
      <c r="G93" s="177">
        <v>1728809523.8095238</v>
      </c>
      <c r="H93" s="177">
        <v>8364198000</v>
      </c>
      <c r="I93" s="175">
        <v>0.2066916067517201</v>
      </c>
      <c r="J93" s="177">
        <v>0</v>
      </c>
    </row>
    <row r="94" spans="1:10">
      <c r="A94" s="65">
        <v>3701</v>
      </c>
      <c r="B94" s="175">
        <v>-0.4</v>
      </c>
      <c r="C94" s="184">
        <v>1</v>
      </c>
      <c r="D94" s="177">
        <v>320000000</v>
      </c>
      <c r="E94" s="26"/>
      <c r="F94" s="184">
        <v>1.5000000000000013E-3</v>
      </c>
      <c r="G94" s="177">
        <v>2768000000</v>
      </c>
      <c r="H94" s="177">
        <v>13244820000</v>
      </c>
      <c r="I94" s="175">
        <v>0.20898736260666434</v>
      </c>
      <c r="J94" s="177">
        <v>0</v>
      </c>
    </row>
    <row r="95" spans="1:10">
      <c r="A95" s="65">
        <v>2719</v>
      </c>
      <c r="B95" s="175">
        <v>0.06</v>
      </c>
      <c r="C95" s="184">
        <v>0.86956521739130432</v>
      </c>
      <c r="D95" s="177">
        <v>33333333.333333336</v>
      </c>
      <c r="E95" s="26"/>
      <c r="F95" s="184">
        <v>3.0041666666666661E-2</v>
      </c>
      <c r="G95" s="177">
        <v>640000000</v>
      </c>
      <c r="H95" s="177">
        <v>3056687000</v>
      </c>
      <c r="I95" s="175">
        <v>0.20937701504930012</v>
      </c>
      <c r="J95" s="177">
        <v>50</v>
      </c>
    </row>
    <row r="96" spans="1:10">
      <c r="A96" s="65">
        <v>8240</v>
      </c>
      <c r="B96" s="175">
        <v>-0.49</v>
      </c>
      <c r="C96" s="184">
        <v>0</v>
      </c>
      <c r="D96" s="177">
        <v>100000000</v>
      </c>
      <c r="E96" s="26"/>
      <c r="F96" s="184">
        <v>-6.2916666666666702E-3</v>
      </c>
      <c r="G96" s="177">
        <v>2139999999.9999998</v>
      </c>
      <c r="H96" s="177">
        <v>10036655000</v>
      </c>
      <c r="I96" s="175">
        <v>0.21321844777966362</v>
      </c>
      <c r="J96" s="177">
        <v>0</v>
      </c>
    </row>
    <row r="97" spans="1:10">
      <c r="A97" s="65">
        <v>6120</v>
      </c>
      <c r="B97" s="175">
        <v>-0.19</v>
      </c>
      <c r="C97" s="184">
        <v>0</v>
      </c>
      <c r="D97" s="177">
        <v>763157894.73684216</v>
      </c>
      <c r="E97" s="26"/>
      <c r="F97" s="184">
        <v>2.5949999999999997E-2</v>
      </c>
      <c r="G97" s="177">
        <v>9692105263.1578941</v>
      </c>
      <c r="H97" s="177">
        <v>44979656000</v>
      </c>
      <c r="I97" s="175">
        <v>0.21547753195706731</v>
      </c>
      <c r="J97" s="177">
        <v>0</v>
      </c>
    </row>
    <row r="98" spans="1:10">
      <c r="A98" s="65">
        <v>4402</v>
      </c>
      <c r="B98" s="175">
        <v>-1.06</v>
      </c>
      <c r="C98" s="184">
        <v>0.89772727272727271</v>
      </c>
      <c r="D98" s="177">
        <v>46226415.094339617</v>
      </c>
      <c r="E98" s="26"/>
      <c r="F98" s="184">
        <v>0.16160833333333333</v>
      </c>
      <c r="G98" s="177">
        <v>231132075.47169808</v>
      </c>
      <c r="H98" s="177">
        <v>1071193000</v>
      </c>
      <c r="I98" s="175">
        <v>0.21577071122729338</v>
      </c>
      <c r="J98" s="177">
        <v>0</v>
      </c>
    </row>
    <row r="99" spans="1:10">
      <c r="A99" s="65">
        <v>2382</v>
      </c>
      <c r="B99" s="175">
        <v>0.88</v>
      </c>
      <c r="C99" s="184">
        <v>0.82200141944641592</v>
      </c>
      <c r="D99" s="177">
        <v>3832954545.4545455</v>
      </c>
      <c r="E99" s="26"/>
      <c r="F99" s="184">
        <v>3.5849999999999993E-2</v>
      </c>
      <c r="G99" s="177">
        <v>214645454545.45456</v>
      </c>
      <c r="H99" s="177">
        <v>983756333000</v>
      </c>
      <c r="I99" s="175">
        <v>0.21818965463824319</v>
      </c>
      <c r="J99" s="177">
        <v>19.354091772499647</v>
      </c>
    </row>
    <row r="100" spans="1:10">
      <c r="A100" s="65">
        <v>5906</v>
      </c>
      <c r="B100" s="175">
        <v>-1.82</v>
      </c>
      <c r="C100" s="184">
        <v>1</v>
      </c>
      <c r="D100" s="177">
        <v>96153846.153846145</v>
      </c>
      <c r="E100" s="26"/>
      <c r="F100" s="184">
        <v>-1.2933333333333331E-2</v>
      </c>
      <c r="G100" s="177">
        <v>291346153.8461538</v>
      </c>
      <c r="H100" s="177">
        <v>1317017000</v>
      </c>
      <c r="I100" s="175">
        <v>0.22121669943983546</v>
      </c>
      <c r="J100" s="177">
        <v>0</v>
      </c>
    </row>
    <row r="101" spans="1:10">
      <c r="A101" s="65">
        <v>2609</v>
      </c>
      <c r="B101" s="175">
        <v>0</v>
      </c>
      <c r="C101" s="184">
        <v>0</v>
      </c>
      <c r="D101" s="177">
        <v>3004400000</v>
      </c>
      <c r="E101" s="26"/>
      <c r="F101" s="184">
        <v>-1.1383333333333334E-2</v>
      </c>
      <c r="G101" s="177">
        <v>29593340000</v>
      </c>
      <c r="H101" s="177">
        <v>132707419000</v>
      </c>
      <c r="I101" s="175">
        <v>0.22299687706231405</v>
      </c>
      <c r="J101" s="177">
        <v>0</v>
      </c>
    </row>
    <row r="102" spans="1:10">
      <c r="A102" s="65">
        <v>3024</v>
      </c>
      <c r="B102" s="175">
        <v>-0.14000000000000001</v>
      </c>
      <c r="C102" s="184">
        <v>1</v>
      </c>
      <c r="D102" s="177">
        <v>285714285.71428567</v>
      </c>
      <c r="E102" s="26"/>
      <c r="F102" s="184">
        <v>-3.583333333333355E-4</v>
      </c>
      <c r="G102" s="177">
        <v>1299999999.9999998</v>
      </c>
      <c r="H102" s="177">
        <v>5806970000</v>
      </c>
      <c r="I102" s="175">
        <v>0.22386890237077164</v>
      </c>
      <c r="J102" s="177">
        <v>0</v>
      </c>
    </row>
    <row r="103" spans="1:10">
      <c r="A103" s="65">
        <v>6139</v>
      </c>
      <c r="B103" s="175">
        <v>0.16</v>
      </c>
      <c r="C103" s="184">
        <v>0</v>
      </c>
      <c r="D103" s="177">
        <v>193750000</v>
      </c>
      <c r="E103" s="26"/>
      <c r="F103" s="184">
        <v>5.5108333333333315E-2</v>
      </c>
      <c r="G103" s="177">
        <v>3681250000</v>
      </c>
      <c r="H103" s="177">
        <v>16387157000</v>
      </c>
      <c r="I103" s="175">
        <v>0.22464238305643866</v>
      </c>
      <c r="J103" s="177">
        <v>0</v>
      </c>
    </row>
    <row r="104" spans="1:10">
      <c r="A104" s="65">
        <v>2030</v>
      </c>
      <c r="B104" s="175">
        <v>-0.08</v>
      </c>
      <c r="C104" s="184">
        <v>1</v>
      </c>
      <c r="D104" s="177">
        <v>275000000</v>
      </c>
      <c r="E104" s="26"/>
      <c r="F104" s="184">
        <v>1.2733333333333327E-2</v>
      </c>
      <c r="G104" s="177">
        <v>2744500000</v>
      </c>
      <c r="H104" s="177">
        <v>12083650000</v>
      </c>
      <c r="I104" s="175">
        <v>0.22712508223922406</v>
      </c>
      <c r="J104" s="177">
        <v>0</v>
      </c>
    </row>
    <row r="105" spans="1:10">
      <c r="A105" s="65">
        <v>1512</v>
      </c>
      <c r="B105" s="175">
        <v>-0.56000000000000005</v>
      </c>
      <c r="C105" s="184">
        <v>0.60248447204968947</v>
      </c>
      <c r="D105" s="177">
        <v>178571428.57142857</v>
      </c>
      <c r="E105" s="26"/>
      <c r="F105" s="184">
        <v>5.9233333333333339E-2</v>
      </c>
      <c r="G105" s="177">
        <v>871428571.42857134</v>
      </c>
      <c r="H105" s="177">
        <v>3827294000</v>
      </c>
      <c r="I105" s="175">
        <v>0.22768790989889237</v>
      </c>
      <c r="J105" s="177">
        <v>0</v>
      </c>
    </row>
    <row r="106" spans="1:10">
      <c r="A106" s="65">
        <v>2014</v>
      </c>
      <c r="B106" s="175">
        <v>0.2</v>
      </c>
      <c r="C106" s="184">
        <v>1</v>
      </c>
      <c r="D106" s="177">
        <v>1435000000</v>
      </c>
      <c r="E106" s="26"/>
      <c r="F106" s="184">
        <v>-9.1249999999999994E-3</v>
      </c>
      <c r="G106" s="177">
        <v>7017150000</v>
      </c>
      <c r="H106" s="177">
        <v>30743907000</v>
      </c>
      <c r="I106" s="175">
        <v>0.22824522595647978</v>
      </c>
      <c r="J106" s="177">
        <v>6.1124999999999989</v>
      </c>
    </row>
    <row r="107" spans="1:10">
      <c r="A107" s="65">
        <v>3483</v>
      </c>
      <c r="B107" s="175">
        <v>-1.49</v>
      </c>
      <c r="C107" s="184">
        <v>1</v>
      </c>
      <c r="D107" s="177">
        <v>48993288.59060403</v>
      </c>
      <c r="E107" s="26"/>
      <c r="F107" s="184">
        <v>2.4241666666666679E-2</v>
      </c>
      <c r="G107" s="177">
        <v>622214765.10067117</v>
      </c>
      <c r="H107" s="177">
        <v>2696835000</v>
      </c>
      <c r="I107" s="175">
        <v>0.23072036854337444</v>
      </c>
      <c r="J107" s="177">
        <v>0</v>
      </c>
    </row>
    <row r="108" spans="1:10">
      <c r="A108" s="65">
        <v>2025</v>
      </c>
      <c r="B108" s="175">
        <v>-0.31</v>
      </c>
      <c r="C108" s="184">
        <v>1</v>
      </c>
      <c r="D108" s="177">
        <v>280645161.2903226</v>
      </c>
      <c r="E108" s="26"/>
      <c r="F108" s="184">
        <v>-4.6416666666666641E-2</v>
      </c>
      <c r="G108" s="177">
        <v>836322580.64516139</v>
      </c>
      <c r="H108" s="177">
        <v>3619378000</v>
      </c>
      <c r="I108" s="175">
        <v>0.23106804004587567</v>
      </c>
      <c r="J108" s="177">
        <v>0</v>
      </c>
    </row>
    <row r="109" spans="1:10">
      <c r="A109" s="65">
        <v>8043</v>
      </c>
      <c r="B109" s="175">
        <v>0.06</v>
      </c>
      <c r="C109" s="184">
        <v>1</v>
      </c>
      <c r="D109" s="177">
        <v>83333333.333333343</v>
      </c>
      <c r="E109" s="26"/>
      <c r="F109" s="184">
        <v>3.3633333333333341E-2</v>
      </c>
      <c r="G109" s="177">
        <v>1208333333.3333335</v>
      </c>
      <c r="H109" s="177">
        <v>5203777000</v>
      </c>
      <c r="I109" s="175">
        <v>0.23220313501776374</v>
      </c>
      <c r="J109" s="177">
        <v>50</v>
      </c>
    </row>
    <row r="110" spans="1:10">
      <c r="A110" s="65">
        <v>5452</v>
      </c>
      <c r="B110" s="175">
        <v>-0.05</v>
      </c>
      <c r="C110" s="184">
        <v>0</v>
      </c>
      <c r="D110" s="177">
        <v>140000000</v>
      </c>
      <c r="E110" s="26"/>
      <c r="F110" s="184">
        <v>-1.1050000000000004E-2</v>
      </c>
      <c r="G110" s="177">
        <v>1338400000</v>
      </c>
      <c r="H110" s="177">
        <v>5756140000</v>
      </c>
      <c r="I110" s="175">
        <v>0.23251692974806032</v>
      </c>
      <c r="J110" s="177">
        <v>0</v>
      </c>
    </row>
    <row r="111" spans="1:10">
      <c r="A111" s="65">
        <v>2392</v>
      </c>
      <c r="B111" s="175">
        <v>0.28000000000000003</v>
      </c>
      <c r="C111" s="184">
        <v>0</v>
      </c>
      <c r="D111" s="177">
        <v>514285714.28571421</v>
      </c>
      <c r="E111" s="26"/>
      <c r="F111" s="184">
        <v>4.3166666666666666E-2</v>
      </c>
      <c r="G111" s="177">
        <v>25071428571.428566</v>
      </c>
      <c r="H111" s="177">
        <v>107819404000</v>
      </c>
      <c r="I111" s="175">
        <v>0.23253169319530431</v>
      </c>
      <c r="J111" s="177">
        <v>0</v>
      </c>
    </row>
    <row r="112" spans="1:10">
      <c r="A112" s="65">
        <v>1313</v>
      </c>
      <c r="B112" s="175">
        <v>0.41</v>
      </c>
      <c r="C112" s="184">
        <v>0.19607843137254902</v>
      </c>
      <c r="D112" s="177">
        <v>1156097560.9756098</v>
      </c>
      <c r="E112" s="26"/>
      <c r="F112" s="184">
        <v>1.585E-2</v>
      </c>
      <c r="G112" s="177">
        <v>10902000000</v>
      </c>
      <c r="H112" s="177">
        <v>45699494000</v>
      </c>
      <c r="I112" s="175">
        <v>0.23855844005625096</v>
      </c>
      <c r="J112" s="177">
        <v>29.325000000000003</v>
      </c>
    </row>
    <row r="113" spans="1:10">
      <c r="A113" s="65">
        <v>8183</v>
      </c>
      <c r="B113" s="175">
        <v>-0.24</v>
      </c>
      <c r="C113" s="184">
        <v>1</v>
      </c>
      <c r="D113" s="177">
        <v>112500000</v>
      </c>
      <c r="E113" s="26"/>
      <c r="F113" s="184">
        <v>-1.026666666666666E-2</v>
      </c>
      <c r="G113" s="177">
        <v>654750000</v>
      </c>
      <c r="H113" s="177">
        <v>2715033000</v>
      </c>
      <c r="I113" s="175">
        <v>0.24115728980089746</v>
      </c>
      <c r="J113" s="177">
        <v>0</v>
      </c>
    </row>
    <row r="114" spans="1:10">
      <c r="A114" s="65">
        <v>2457</v>
      </c>
      <c r="B114" s="175">
        <v>-0.92</v>
      </c>
      <c r="C114" s="184">
        <v>1</v>
      </c>
      <c r="D114" s="177">
        <v>276086956.52173913</v>
      </c>
      <c r="E114" s="26"/>
      <c r="F114" s="184">
        <v>5.6500000000000022E-3</v>
      </c>
      <c r="G114" s="177">
        <v>2655956521.73913</v>
      </c>
      <c r="H114" s="177">
        <v>11012940000</v>
      </c>
      <c r="I114" s="175">
        <v>0.24116689292224691</v>
      </c>
      <c r="J114" s="177">
        <v>0</v>
      </c>
    </row>
    <row r="115" spans="1:10">
      <c r="A115" s="65">
        <v>2023</v>
      </c>
      <c r="B115" s="175">
        <v>-0.16</v>
      </c>
      <c r="C115" s="184">
        <v>1</v>
      </c>
      <c r="D115" s="177">
        <v>1681250000</v>
      </c>
      <c r="E115" s="26"/>
      <c r="F115" s="184">
        <v>-1.4475E-2</v>
      </c>
      <c r="G115" s="177">
        <v>13248250000</v>
      </c>
      <c r="H115" s="177">
        <v>54812355000</v>
      </c>
      <c r="I115" s="175">
        <v>0.24170189366977574</v>
      </c>
      <c r="J115" s="177">
        <v>0</v>
      </c>
    </row>
    <row r="116" spans="1:10">
      <c r="A116" s="65">
        <v>2013</v>
      </c>
      <c r="B116" s="175">
        <v>0.27</v>
      </c>
      <c r="C116" s="184">
        <v>0.94047619047619047</v>
      </c>
      <c r="D116" s="177">
        <v>192592592.59259257</v>
      </c>
      <c r="E116" s="26"/>
      <c r="F116" s="184">
        <v>1.6458333333333332E-2</v>
      </c>
      <c r="G116" s="177">
        <v>3774814814.8148146</v>
      </c>
      <c r="H116" s="177">
        <v>15455815000</v>
      </c>
      <c r="I116" s="175">
        <v>0.24423266031683316</v>
      </c>
      <c r="J116" s="177">
        <v>19.296765119549928</v>
      </c>
    </row>
    <row r="117" spans="1:10">
      <c r="A117" s="65">
        <v>2027</v>
      </c>
      <c r="B117" s="175">
        <v>-0.03</v>
      </c>
      <c r="C117" s="184">
        <v>1</v>
      </c>
      <c r="D117" s="177">
        <v>800000000</v>
      </c>
      <c r="E117" s="26"/>
      <c r="F117" s="184">
        <v>-1.6499999999999998E-3</v>
      </c>
      <c r="G117" s="177">
        <v>12720000000</v>
      </c>
      <c r="H117" s="177">
        <v>51905594000</v>
      </c>
      <c r="I117" s="175">
        <v>0.24506029157473855</v>
      </c>
      <c r="J117" s="177">
        <v>0</v>
      </c>
    </row>
    <row r="118" spans="1:10">
      <c r="A118" s="65">
        <v>2425</v>
      </c>
      <c r="B118" s="175">
        <v>0.04</v>
      </c>
      <c r="C118" s="184">
        <v>1</v>
      </c>
      <c r="D118" s="177">
        <v>100000000</v>
      </c>
      <c r="E118" s="26"/>
      <c r="F118" s="184">
        <v>6.2966666666666671E-2</v>
      </c>
      <c r="G118" s="177">
        <v>1700000000</v>
      </c>
      <c r="H118" s="177">
        <v>6928339000</v>
      </c>
      <c r="I118" s="175">
        <v>0.2453690559887442</v>
      </c>
      <c r="J118" s="177">
        <v>50</v>
      </c>
    </row>
    <row r="119" spans="1:10">
      <c r="A119" s="65">
        <v>4513</v>
      </c>
      <c r="B119" s="175">
        <v>-0.02</v>
      </c>
      <c r="C119" s="184">
        <v>1</v>
      </c>
      <c r="D119" s="177">
        <v>50000000</v>
      </c>
      <c r="E119" s="26"/>
      <c r="F119" s="184">
        <v>4.5058333333333332E-2</v>
      </c>
      <c r="G119" s="177">
        <v>557500000</v>
      </c>
      <c r="H119" s="177">
        <v>2269080000</v>
      </c>
      <c r="I119" s="175">
        <v>0.245694290196908</v>
      </c>
      <c r="J119" s="177">
        <v>0</v>
      </c>
    </row>
    <row r="120" spans="1:10">
      <c r="A120" s="65">
        <v>6161</v>
      </c>
      <c r="B120" s="175">
        <v>7.0000000000000007E-2</v>
      </c>
      <c r="C120" s="184">
        <v>1</v>
      </c>
      <c r="D120" s="177">
        <v>114285714.28571427</v>
      </c>
      <c r="E120" s="26"/>
      <c r="F120" s="184">
        <v>-1.491666666666662E-3</v>
      </c>
      <c r="G120" s="177">
        <v>772571428.57142842</v>
      </c>
      <c r="H120" s="177">
        <v>3132777000</v>
      </c>
      <c r="I120" s="175">
        <v>0.24660913578318164</v>
      </c>
      <c r="J120" s="177">
        <v>24.142857142857139</v>
      </c>
    </row>
    <row r="121" spans="1:10">
      <c r="A121" s="65">
        <v>2331</v>
      </c>
      <c r="B121" s="175">
        <v>0.56000000000000005</v>
      </c>
      <c r="C121" s="184">
        <v>0.93768115942028984</v>
      </c>
      <c r="D121" s="177">
        <v>558928571.42857134</v>
      </c>
      <c r="E121" s="26"/>
      <c r="F121" s="184">
        <v>7.4766666666666676E-2</v>
      </c>
      <c r="G121" s="177">
        <v>13190714285.714285</v>
      </c>
      <c r="H121" s="177">
        <v>53248245000</v>
      </c>
      <c r="I121" s="175">
        <v>0.24772110866215938</v>
      </c>
      <c r="J121" s="177">
        <v>11.235924045043054</v>
      </c>
    </row>
    <row r="122" spans="1:10">
      <c r="A122" s="65">
        <v>2409</v>
      </c>
      <c r="B122" s="175">
        <v>0.47</v>
      </c>
      <c r="C122" s="184">
        <v>1</v>
      </c>
      <c r="D122" s="177">
        <v>9563829787.2340431</v>
      </c>
      <c r="E122" s="26"/>
      <c r="F122" s="184">
        <v>-1.4983333333333329E-2</v>
      </c>
      <c r="G122" s="177">
        <v>93342978723.404266</v>
      </c>
      <c r="H122" s="177">
        <v>374551273000</v>
      </c>
      <c r="I122" s="175">
        <v>0.24921281931780878</v>
      </c>
      <c r="J122" s="177">
        <v>5.1914893617021276</v>
      </c>
    </row>
    <row r="123" spans="1:10">
      <c r="A123" s="65">
        <v>6251</v>
      </c>
      <c r="B123" s="175">
        <v>-0.3</v>
      </c>
      <c r="C123" s="184">
        <v>0.93793103448275861</v>
      </c>
      <c r="D123" s="177">
        <v>286666666.66666669</v>
      </c>
      <c r="E123" s="26"/>
      <c r="F123" s="184">
        <v>1.0166666666666669E-2</v>
      </c>
      <c r="G123" s="177">
        <v>2749133333.3333335</v>
      </c>
      <c r="H123" s="177">
        <v>10846601000</v>
      </c>
      <c r="I123" s="175">
        <v>0.25345574464602627</v>
      </c>
      <c r="J123" s="177">
        <v>0</v>
      </c>
    </row>
    <row r="124" spans="1:10">
      <c r="A124" s="65">
        <v>4906</v>
      </c>
      <c r="B124" s="175">
        <v>0.04</v>
      </c>
      <c r="C124" s="184">
        <v>1</v>
      </c>
      <c r="D124" s="177">
        <v>275000000</v>
      </c>
      <c r="E124" s="26"/>
      <c r="F124" s="184">
        <v>-5.1000000000000012E-3</v>
      </c>
      <c r="G124" s="177">
        <v>4702500000</v>
      </c>
      <c r="H124" s="177">
        <v>18396756000</v>
      </c>
      <c r="I124" s="175">
        <v>0.25561571833642843</v>
      </c>
      <c r="J124" s="177">
        <v>50</v>
      </c>
    </row>
    <row r="125" spans="1:10">
      <c r="A125" s="65">
        <v>6156</v>
      </c>
      <c r="B125" s="175">
        <v>0.39</v>
      </c>
      <c r="C125" s="184">
        <v>0.55319148936170215</v>
      </c>
      <c r="D125" s="177">
        <v>76923076.923076928</v>
      </c>
      <c r="E125" s="26"/>
      <c r="F125" s="184">
        <v>-1.1975000000000001E-2</v>
      </c>
      <c r="G125" s="177">
        <v>1076923076.9230771</v>
      </c>
      <c r="H125" s="177">
        <v>4204901000</v>
      </c>
      <c r="I125" s="175">
        <v>0.2561113987994193</v>
      </c>
      <c r="J125" s="177">
        <v>16.222879684418146</v>
      </c>
    </row>
    <row r="126" spans="1:10">
      <c r="A126" s="65">
        <v>4121</v>
      </c>
      <c r="B126" s="175">
        <v>-0.08</v>
      </c>
      <c r="C126" s="184">
        <v>1</v>
      </c>
      <c r="D126" s="177">
        <v>75000000</v>
      </c>
      <c r="E126" s="26"/>
      <c r="F126" s="184">
        <v>-5.6666666666666725E-4</v>
      </c>
      <c r="G126" s="177">
        <v>881250000</v>
      </c>
      <c r="H126" s="177">
        <v>3428193000</v>
      </c>
      <c r="I126" s="175">
        <v>0.25705962295588375</v>
      </c>
      <c r="J126" s="177">
        <v>0</v>
      </c>
    </row>
    <row r="127" spans="1:10">
      <c r="A127" s="65">
        <v>2332</v>
      </c>
      <c r="B127" s="175">
        <v>-0.21</v>
      </c>
      <c r="C127" s="184">
        <v>1</v>
      </c>
      <c r="D127" s="177">
        <v>628571428.57142854</v>
      </c>
      <c r="E127" s="26"/>
      <c r="F127" s="184">
        <v>-5.641666666666669E-3</v>
      </c>
      <c r="G127" s="177">
        <v>7354285714.2857132</v>
      </c>
      <c r="H127" s="177">
        <v>28475631000</v>
      </c>
      <c r="I127" s="175">
        <v>0.25826594375681133</v>
      </c>
      <c r="J127" s="177">
        <v>0</v>
      </c>
    </row>
    <row r="128" spans="1:10">
      <c r="A128" s="65">
        <v>6113</v>
      </c>
      <c r="B128" s="175">
        <v>-0.61</v>
      </c>
      <c r="C128" s="184">
        <v>1</v>
      </c>
      <c r="D128" s="177">
        <v>50819672.131147541</v>
      </c>
      <c r="E128" s="26"/>
      <c r="F128" s="184">
        <v>2.4466666666666675E-2</v>
      </c>
      <c r="G128" s="177">
        <v>430442622.95081973</v>
      </c>
      <c r="H128" s="177">
        <v>1658595000</v>
      </c>
      <c r="I128" s="175">
        <v>0.25952244095202248</v>
      </c>
      <c r="J128" s="177">
        <v>0</v>
      </c>
    </row>
    <row r="129" spans="1:10">
      <c r="A129" s="65">
        <v>5371</v>
      </c>
      <c r="B129" s="175">
        <v>0.57999999999999996</v>
      </c>
      <c r="C129" s="184">
        <v>0.16611842105263158</v>
      </c>
      <c r="D129" s="177">
        <v>546551724.13793111</v>
      </c>
      <c r="E129" s="26"/>
      <c r="F129" s="184">
        <v>8.5833333333333128E-4</v>
      </c>
      <c r="G129" s="177">
        <v>18364137931.034485</v>
      </c>
      <c r="H129" s="177">
        <v>70433047000</v>
      </c>
      <c r="I129" s="175">
        <v>0.26073183985685705</v>
      </c>
      <c r="J129" s="177">
        <v>50</v>
      </c>
    </row>
    <row r="130" spans="1:10">
      <c r="A130" s="65">
        <v>6108</v>
      </c>
      <c r="B130" s="175">
        <v>-0.38</v>
      </c>
      <c r="C130" s="184">
        <v>0</v>
      </c>
      <c r="D130" s="177">
        <v>157894736.84210527</v>
      </c>
      <c r="E130" s="26"/>
      <c r="F130" s="184">
        <v>6.2583333333333302E-3</v>
      </c>
      <c r="G130" s="177">
        <v>2076315789.4736843</v>
      </c>
      <c r="H130" s="177">
        <v>7933487000</v>
      </c>
      <c r="I130" s="175">
        <v>0.26171540830326995</v>
      </c>
      <c r="J130" s="177">
        <v>0</v>
      </c>
    </row>
    <row r="131" spans="1:10">
      <c r="A131" s="65">
        <v>8374</v>
      </c>
      <c r="B131" s="175">
        <v>0.18</v>
      </c>
      <c r="C131" s="184">
        <v>8.6956521739130432E-2</v>
      </c>
      <c r="D131" s="177">
        <v>88888888.888888896</v>
      </c>
      <c r="E131" s="26"/>
      <c r="F131" s="184">
        <v>2.6533333333333325E-2</v>
      </c>
      <c r="G131" s="177">
        <v>1088888888.8888891</v>
      </c>
      <c r="H131" s="177">
        <v>4152772000</v>
      </c>
      <c r="I131" s="175">
        <v>0.26220772267027642</v>
      </c>
      <c r="J131" s="177">
        <v>50</v>
      </c>
    </row>
    <row r="132" spans="1:10">
      <c r="A132" s="65">
        <v>1616</v>
      </c>
      <c r="B132" s="175">
        <v>-0.27</v>
      </c>
      <c r="C132" s="184">
        <v>0</v>
      </c>
      <c r="D132" s="177">
        <v>192592592.59259257</v>
      </c>
      <c r="E132" s="26"/>
      <c r="F132" s="184">
        <v>1.0591666666666664E-2</v>
      </c>
      <c r="G132" s="177">
        <v>941777777.77777755</v>
      </c>
      <c r="H132" s="177">
        <v>3589266000</v>
      </c>
      <c r="I132" s="175">
        <v>0.26238728970708147</v>
      </c>
      <c r="J132" s="177">
        <v>0</v>
      </c>
    </row>
    <row r="133" spans="1:10">
      <c r="A133" s="65">
        <v>8163</v>
      </c>
      <c r="B133" s="175">
        <v>7.0000000000000007E-2</v>
      </c>
      <c r="C133" s="184">
        <v>0.94736842105263153</v>
      </c>
      <c r="D133" s="177">
        <v>314285714.28571427</v>
      </c>
      <c r="E133" s="26"/>
      <c r="F133" s="184">
        <v>-5.1999999999999989E-3</v>
      </c>
      <c r="G133" s="177">
        <v>5405714285.7142849</v>
      </c>
      <c r="H133" s="177">
        <v>20441590000</v>
      </c>
      <c r="I133" s="175">
        <v>0.26444685984379324</v>
      </c>
      <c r="J133" s="177">
        <v>50</v>
      </c>
    </row>
    <row r="134" spans="1:10">
      <c r="A134" s="65">
        <v>6291</v>
      </c>
      <c r="B134" s="175">
        <v>-0.17</v>
      </c>
      <c r="C134" s="184">
        <v>0.8666666666666667</v>
      </c>
      <c r="D134" s="177">
        <v>23529411.764705881</v>
      </c>
      <c r="E134" s="26"/>
      <c r="F134" s="184">
        <v>-7.0833333333333347E-3</v>
      </c>
      <c r="G134" s="177">
        <v>65882352.941176467</v>
      </c>
      <c r="H134" s="177">
        <v>248520000</v>
      </c>
      <c r="I134" s="175">
        <v>0.26509879664081953</v>
      </c>
      <c r="J134" s="177">
        <v>0</v>
      </c>
    </row>
    <row r="135" spans="1:10">
      <c r="A135" s="65">
        <v>1304</v>
      </c>
      <c r="B135" s="175">
        <v>0.31</v>
      </c>
      <c r="C135" s="184">
        <v>0.81349206349206349</v>
      </c>
      <c r="D135" s="177">
        <v>1019354838.7096775</v>
      </c>
      <c r="E135" s="26"/>
      <c r="F135" s="184">
        <v>1.6416666666666652E-3</v>
      </c>
      <c r="G135" s="177">
        <v>14016129032.258064</v>
      </c>
      <c r="H135" s="177">
        <v>52731553000</v>
      </c>
      <c r="I135" s="175">
        <v>0.26580155968966179</v>
      </c>
      <c r="J135" s="177">
        <v>13.630999213217939</v>
      </c>
    </row>
    <row r="136" spans="1:10">
      <c r="A136" s="65">
        <v>6276</v>
      </c>
      <c r="B136" s="175">
        <v>-0.63</v>
      </c>
      <c r="C136" s="184">
        <v>0.83783783783783783</v>
      </c>
      <c r="D136" s="177">
        <v>44444444.444444448</v>
      </c>
      <c r="E136" s="26"/>
      <c r="F136" s="184">
        <v>-5.2500000000000463E-4</v>
      </c>
      <c r="G136" s="177">
        <v>357333333.33333331</v>
      </c>
      <c r="H136" s="177">
        <v>1336512000</v>
      </c>
      <c r="I136" s="175">
        <v>0.26736260754361602</v>
      </c>
      <c r="J136" s="177">
        <v>0</v>
      </c>
    </row>
    <row r="137" spans="1:10">
      <c r="A137" s="65">
        <v>6154</v>
      </c>
      <c r="B137" s="175">
        <v>0.23</v>
      </c>
      <c r="C137" s="184">
        <v>0.95652173913043481</v>
      </c>
      <c r="D137" s="177">
        <v>82608695.652173907</v>
      </c>
      <c r="E137" s="26"/>
      <c r="F137" s="184">
        <v>-1.5750000000000046E-3</v>
      </c>
      <c r="G137" s="177">
        <v>1429130434.7826087</v>
      </c>
      <c r="H137" s="177">
        <v>5279189000</v>
      </c>
      <c r="I137" s="175">
        <v>0.27071022363143443</v>
      </c>
      <c r="J137" s="177">
        <v>19.659090909090907</v>
      </c>
    </row>
    <row r="138" spans="1:10">
      <c r="A138" s="65">
        <v>1725</v>
      </c>
      <c r="B138" s="175">
        <v>0.17</v>
      </c>
      <c r="C138" s="184">
        <v>0.9375</v>
      </c>
      <c r="D138" s="177">
        <v>176470588.2352941</v>
      </c>
      <c r="E138" s="26"/>
      <c r="F138" s="184">
        <v>-6.8333333333333278E-4</v>
      </c>
      <c r="G138" s="177">
        <v>2567647058.8235292</v>
      </c>
      <c r="H138" s="177">
        <v>9477555000</v>
      </c>
      <c r="I138" s="175">
        <v>0.27091871889147878</v>
      </c>
      <c r="J138" s="177">
        <v>22.823529411764703</v>
      </c>
    </row>
    <row r="139" spans="1:10">
      <c r="A139" s="65">
        <v>2535</v>
      </c>
      <c r="B139" s="175">
        <v>0.18</v>
      </c>
      <c r="C139" s="184">
        <v>1</v>
      </c>
      <c r="D139" s="177">
        <v>205555555.55555555</v>
      </c>
      <c r="E139" s="26"/>
      <c r="F139" s="184">
        <v>8.1208333333333341E-2</v>
      </c>
      <c r="G139" s="177">
        <v>3062777777.7777777</v>
      </c>
      <c r="H139" s="177">
        <v>11265912000</v>
      </c>
      <c r="I139" s="175">
        <v>0.27186239141383117</v>
      </c>
      <c r="J139" s="177">
        <v>20.694444444444446</v>
      </c>
    </row>
    <row r="140" spans="1:10">
      <c r="A140" s="65">
        <v>2022</v>
      </c>
      <c r="B140" s="175">
        <v>-0.18</v>
      </c>
      <c r="C140" s="184">
        <v>0.39560439560439559</v>
      </c>
      <c r="D140" s="177">
        <v>544444444.44444442</v>
      </c>
      <c r="E140" s="26"/>
      <c r="F140" s="184">
        <v>3.0866666666666667E-2</v>
      </c>
      <c r="G140" s="177">
        <v>2259444444.4444447</v>
      </c>
      <c r="H140" s="177">
        <v>8307460000</v>
      </c>
      <c r="I140" s="175">
        <v>0.27197776991336037</v>
      </c>
      <c r="J140" s="177">
        <v>0</v>
      </c>
    </row>
    <row r="141" spans="1:10">
      <c r="A141" s="65">
        <v>3010</v>
      </c>
      <c r="B141" s="175">
        <v>1.1100000000000001</v>
      </c>
      <c r="C141" s="184">
        <v>0.64258555133079853</v>
      </c>
      <c r="D141" s="177">
        <v>232432432.43243241</v>
      </c>
      <c r="E141" s="26"/>
      <c r="F141" s="184">
        <v>5.6999999999999993E-3</v>
      </c>
      <c r="G141" s="177">
        <v>10691891891.891891</v>
      </c>
      <c r="H141" s="177">
        <v>39305138000</v>
      </c>
      <c r="I141" s="175">
        <v>0.27202275417254335</v>
      </c>
      <c r="J141" s="177">
        <v>16.122927661389198</v>
      </c>
    </row>
    <row r="142" spans="1:10">
      <c r="A142" s="65">
        <v>9934</v>
      </c>
      <c r="B142" s="175">
        <v>0.56999999999999995</v>
      </c>
      <c r="C142" s="184">
        <v>0.40625</v>
      </c>
      <c r="D142" s="177">
        <v>354385964.91228074</v>
      </c>
      <c r="E142" s="26"/>
      <c r="F142" s="184">
        <v>1.8925000000000001E-2</v>
      </c>
      <c r="G142" s="177">
        <v>5457543859.6491232</v>
      </c>
      <c r="H142" s="177">
        <v>19660893000</v>
      </c>
      <c r="I142" s="175">
        <v>0.27758372214573995</v>
      </c>
      <c r="J142" s="177">
        <v>16.626180836707153</v>
      </c>
    </row>
    <row r="143" spans="1:10">
      <c r="A143" s="65">
        <v>3673</v>
      </c>
      <c r="B143" s="175">
        <v>-1.77</v>
      </c>
      <c r="C143" s="184">
        <v>0.39889705882352944</v>
      </c>
      <c r="D143" s="177">
        <v>349152542.37288135</v>
      </c>
      <c r="E143" s="26"/>
      <c r="F143" s="184">
        <v>3.4749999999999996E-2</v>
      </c>
      <c r="G143" s="177">
        <v>35438983050.847458</v>
      </c>
      <c r="H143" s="177">
        <v>127642324000</v>
      </c>
      <c r="I143" s="175">
        <v>0.27764288474446341</v>
      </c>
      <c r="J143" s="177">
        <v>0</v>
      </c>
    </row>
    <row r="144" spans="1:10">
      <c r="A144" s="65">
        <v>2908</v>
      </c>
      <c r="B144" s="175">
        <v>0.22</v>
      </c>
      <c r="C144" s="184">
        <v>0.96190476190476193</v>
      </c>
      <c r="D144" s="177">
        <v>500000000</v>
      </c>
      <c r="E144" s="26"/>
      <c r="F144" s="184">
        <v>-2.1083333333333349E-3</v>
      </c>
      <c r="G144" s="177">
        <v>10150000000</v>
      </c>
      <c r="H144" s="177">
        <v>36427580000</v>
      </c>
      <c r="I144" s="175">
        <v>0.27863503422406871</v>
      </c>
      <c r="J144" s="177">
        <v>23.981773177317731</v>
      </c>
    </row>
    <row r="145" spans="1:10">
      <c r="A145" s="65">
        <v>1449</v>
      </c>
      <c r="B145" s="175">
        <v>-1.07</v>
      </c>
      <c r="C145" s="184">
        <v>1</v>
      </c>
      <c r="D145" s="177">
        <v>118691588.78504673</v>
      </c>
      <c r="E145" s="26"/>
      <c r="F145" s="184">
        <v>1.2716666666666666E-2</v>
      </c>
      <c r="G145" s="177">
        <v>852205607.47663546</v>
      </c>
      <c r="H145" s="177">
        <v>3057147000</v>
      </c>
      <c r="I145" s="175">
        <v>0.27875846581032426</v>
      </c>
      <c r="J145" s="177">
        <v>0</v>
      </c>
    </row>
    <row r="146" spans="1:10">
      <c r="A146" s="65">
        <v>3550</v>
      </c>
      <c r="B146" s="175">
        <v>0.24</v>
      </c>
      <c r="C146" s="184">
        <v>1</v>
      </c>
      <c r="D146" s="177">
        <v>83333333.333333343</v>
      </c>
      <c r="E146" s="26"/>
      <c r="F146" s="184">
        <v>5.1266666666666662E-2</v>
      </c>
      <c r="G146" s="177">
        <v>1016666666.6666667</v>
      </c>
      <c r="H146" s="177">
        <v>3635299000</v>
      </c>
      <c r="I146" s="175">
        <v>0.27966521231586916</v>
      </c>
      <c r="J146" s="177">
        <v>12.708333333333334</v>
      </c>
    </row>
    <row r="147" spans="1:10">
      <c r="A147" s="65">
        <v>3481</v>
      </c>
      <c r="B147" s="175">
        <v>0.54</v>
      </c>
      <c r="C147" s="184">
        <v>1</v>
      </c>
      <c r="D147" s="177">
        <v>10011111111.111111</v>
      </c>
      <c r="E147" s="26"/>
      <c r="F147" s="184">
        <v>-1.2341666666666666E-2</v>
      </c>
      <c r="G147" s="177">
        <v>109121111111.11111</v>
      </c>
      <c r="H147" s="177">
        <v>388917509000</v>
      </c>
      <c r="I147" s="175">
        <v>0.28057649395031764</v>
      </c>
      <c r="J147" s="177">
        <v>5.0462962962962958</v>
      </c>
    </row>
    <row r="148" spans="1:10">
      <c r="A148" s="65">
        <v>2546</v>
      </c>
      <c r="B148" s="175">
        <v>0.28999999999999998</v>
      </c>
      <c r="C148" s="184">
        <v>0.79245283018867929</v>
      </c>
      <c r="D148" s="177">
        <v>106896551.72413793</v>
      </c>
      <c r="E148" s="26"/>
      <c r="F148" s="184">
        <v>0.14554166666666665</v>
      </c>
      <c r="G148" s="177">
        <v>1619482758.6206896</v>
      </c>
      <c r="H148" s="177">
        <v>5730640000</v>
      </c>
      <c r="I148" s="175">
        <v>0.28260067961356666</v>
      </c>
      <c r="J148" s="177">
        <v>16.480911330049263</v>
      </c>
    </row>
    <row r="149" spans="1:10">
      <c r="A149" s="65">
        <v>6142</v>
      </c>
      <c r="B149" s="175">
        <v>-0.11</v>
      </c>
      <c r="C149" s="184">
        <v>1</v>
      </c>
      <c r="D149" s="177">
        <v>272727272.72727275</v>
      </c>
      <c r="E149" s="26"/>
      <c r="F149" s="184">
        <v>2.8591666666666658E-2</v>
      </c>
      <c r="G149" s="177">
        <v>1265454545.4545455</v>
      </c>
      <c r="H149" s="177">
        <v>4477416000</v>
      </c>
      <c r="I149" s="175">
        <v>0.28263054973103807</v>
      </c>
      <c r="J149" s="177">
        <v>0</v>
      </c>
    </row>
    <row r="150" spans="1:10">
      <c r="A150" s="65">
        <v>1904</v>
      </c>
      <c r="B150" s="175">
        <v>0.16</v>
      </c>
      <c r="C150" s="184">
        <v>1</v>
      </c>
      <c r="D150" s="177">
        <v>1100000000</v>
      </c>
      <c r="E150" s="26"/>
      <c r="F150" s="184">
        <v>8.4166666666666591E-4</v>
      </c>
      <c r="G150" s="177">
        <v>12815000000</v>
      </c>
      <c r="H150" s="177">
        <v>44671854000</v>
      </c>
      <c r="I150" s="175">
        <v>0.28686966965821475</v>
      </c>
      <c r="J150" s="177">
        <v>18.203125</v>
      </c>
    </row>
    <row r="151" spans="1:10">
      <c r="A151" s="65">
        <v>1712</v>
      </c>
      <c r="B151" s="175">
        <v>0.35</v>
      </c>
      <c r="C151" s="184">
        <v>1</v>
      </c>
      <c r="D151" s="177">
        <v>348571428.5714286</v>
      </c>
      <c r="E151" s="26"/>
      <c r="F151" s="184">
        <v>4.5916666666666649E-3</v>
      </c>
      <c r="G151" s="177">
        <v>5071714285.7142868</v>
      </c>
      <c r="H151" s="177">
        <v>17605950000</v>
      </c>
      <c r="I151" s="175">
        <v>0.28806819772374037</v>
      </c>
      <c r="J151" s="177">
        <v>10.392857142857144</v>
      </c>
    </row>
    <row r="152" spans="1:10">
      <c r="A152" s="65">
        <v>3704</v>
      </c>
      <c r="B152" s="175">
        <v>-0.41</v>
      </c>
      <c r="C152" s="184">
        <v>0.44583987441130296</v>
      </c>
      <c r="D152" s="177">
        <v>475609756.097561</v>
      </c>
      <c r="E152" s="26"/>
      <c r="F152" s="184">
        <v>1.6416666666666666E-2</v>
      </c>
      <c r="G152" s="177">
        <v>6159146341.4634142</v>
      </c>
      <c r="H152" s="177">
        <v>21348672000</v>
      </c>
      <c r="I152" s="175">
        <v>0.2885025514216254</v>
      </c>
      <c r="J152" s="177">
        <v>0</v>
      </c>
    </row>
    <row r="153" spans="1:10">
      <c r="A153" s="65">
        <v>1907</v>
      </c>
      <c r="B153" s="175">
        <v>0.17</v>
      </c>
      <c r="C153" s="184">
        <v>1</v>
      </c>
      <c r="D153" s="177">
        <v>1652941176.4705882</v>
      </c>
      <c r="E153" s="26"/>
      <c r="F153" s="184">
        <v>1.471666666666667E-2</v>
      </c>
      <c r="G153" s="177">
        <v>18430294117.64706</v>
      </c>
      <c r="H153" s="177">
        <v>63636991000</v>
      </c>
      <c r="I153" s="175">
        <v>0.28961605236248616</v>
      </c>
      <c r="J153" s="177">
        <v>16.397058823529409</v>
      </c>
    </row>
    <row r="154" spans="1:10">
      <c r="A154" s="65">
        <v>1336</v>
      </c>
      <c r="B154" s="175">
        <v>-0.96</v>
      </c>
      <c r="C154" s="184">
        <v>0.98936170212765961</v>
      </c>
      <c r="D154" s="177">
        <v>62500000</v>
      </c>
      <c r="E154" s="26"/>
      <c r="F154" s="184">
        <v>6.136666666666666E-2</v>
      </c>
      <c r="G154" s="177">
        <v>517499999.99999994</v>
      </c>
      <c r="H154" s="177">
        <v>1775192000</v>
      </c>
      <c r="I154" s="175">
        <v>0.29151776258568085</v>
      </c>
      <c r="J154" s="177">
        <v>0</v>
      </c>
    </row>
    <row r="155" spans="1:10">
      <c r="A155" s="65">
        <v>4729</v>
      </c>
      <c r="B155" s="175">
        <v>-0.03</v>
      </c>
      <c r="C155" s="184">
        <v>0</v>
      </c>
      <c r="D155" s="177">
        <v>133333333.33333334</v>
      </c>
      <c r="E155" s="26"/>
      <c r="F155" s="184">
        <v>2.0875000000000008E-2</v>
      </c>
      <c r="G155" s="177">
        <v>1786666666.6666667</v>
      </c>
      <c r="H155" s="177">
        <v>6126044000</v>
      </c>
      <c r="I155" s="175">
        <v>0.29165096866210344</v>
      </c>
      <c r="J155" s="177">
        <v>0</v>
      </c>
    </row>
    <row r="156" spans="1:10">
      <c r="A156" s="65">
        <v>3202</v>
      </c>
      <c r="B156" s="175">
        <v>-0.23</v>
      </c>
      <c r="C156" s="184">
        <v>1</v>
      </c>
      <c r="D156" s="177">
        <v>100000000</v>
      </c>
      <c r="E156" s="26"/>
      <c r="F156" s="184">
        <v>1.8416666666666671E-2</v>
      </c>
      <c r="G156" s="177">
        <v>670000000</v>
      </c>
      <c r="H156" s="177">
        <v>2270405000</v>
      </c>
      <c r="I156" s="175">
        <v>0.29510153474820572</v>
      </c>
      <c r="J156" s="177">
        <v>0</v>
      </c>
    </row>
    <row r="157" spans="1:10">
      <c r="A157" s="65">
        <v>2317</v>
      </c>
      <c r="B157" s="175">
        <v>1.65</v>
      </c>
      <c r="C157" s="184">
        <v>0.83821667409719125</v>
      </c>
      <c r="D157" s="177">
        <v>15569696969.69697</v>
      </c>
      <c r="E157" s="26"/>
      <c r="F157" s="184">
        <v>2.9750000000000009E-2</v>
      </c>
      <c r="G157" s="177">
        <v>1348335757575.7576</v>
      </c>
      <c r="H157" s="177">
        <v>4552320045000</v>
      </c>
      <c r="I157" s="175">
        <v>0.29618650363932342</v>
      </c>
      <c r="J157" s="177">
        <v>15.653723585664101</v>
      </c>
    </row>
    <row r="158" spans="1:10">
      <c r="A158" s="65">
        <v>6189</v>
      </c>
      <c r="B158" s="175">
        <v>0.54</v>
      </c>
      <c r="C158" s="184">
        <v>1</v>
      </c>
      <c r="D158" s="177">
        <v>181481481.48148146</v>
      </c>
      <c r="E158" s="26"/>
      <c r="F158" s="184">
        <v>2.7083333333333347E-3</v>
      </c>
      <c r="G158" s="177">
        <v>5444444444.4444437</v>
      </c>
      <c r="H158" s="177">
        <v>18324312000</v>
      </c>
      <c r="I158" s="175">
        <v>0.29711589960072954</v>
      </c>
      <c r="J158" s="177">
        <v>13.888888888888888</v>
      </c>
    </row>
    <row r="159" spans="1:10">
      <c r="A159" s="65">
        <v>2312</v>
      </c>
      <c r="B159" s="175">
        <v>0.42</v>
      </c>
      <c r="C159" s="184">
        <v>0.31386138613861386</v>
      </c>
      <c r="D159" s="177">
        <v>1383333333.3333335</v>
      </c>
      <c r="E159" s="26"/>
      <c r="F159" s="184">
        <v>1.4833333333333272E-3</v>
      </c>
      <c r="G159" s="177">
        <v>15216666666.666668</v>
      </c>
      <c r="H159" s="177">
        <v>51135258000</v>
      </c>
      <c r="I159" s="175">
        <v>0.29757680437765011</v>
      </c>
      <c r="J159" s="177">
        <v>20.861499173802013</v>
      </c>
    </row>
    <row r="160" spans="1:10">
      <c r="A160" s="65">
        <v>2453</v>
      </c>
      <c r="B160" s="175">
        <v>0.18</v>
      </c>
      <c r="C160" s="184">
        <v>0.82608695652173914</v>
      </c>
      <c r="D160" s="177">
        <v>100000000</v>
      </c>
      <c r="E160" s="26"/>
      <c r="F160" s="184">
        <v>8.3941666666666692E-2</v>
      </c>
      <c r="G160" s="177">
        <v>1185000000</v>
      </c>
      <c r="H160" s="177">
        <v>3972968000</v>
      </c>
      <c r="I160" s="175">
        <v>0.29826567946180288</v>
      </c>
      <c r="J160" s="177">
        <v>19.923245614035089</v>
      </c>
    </row>
    <row r="161" spans="1:10">
      <c r="A161" s="65">
        <v>1467</v>
      </c>
      <c r="B161" s="175">
        <v>0.02</v>
      </c>
      <c r="C161" s="184">
        <v>1</v>
      </c>
      <c r="D161" s="177">
        <v>150000000</v>
      </c>
      <c r="E161" s="26"/>
      <c r="F161" s="184">
        <v>1.6941666666666667E-2</v>
      </c>
      <c r="G161" s="177">
        <v>2212500000</v>
      </c>
      <c r="H161" s="177">
        <v>7355309000</v>
      </c>
      <c r="I161" s="175">
        <v>0.30080313417152155</v>
      </c>
      <c r="J161" s="177">
        <v>50</v>
      </c>
    </row>
    <row r="162" spans="1:10">
      <c r="A162" s="65">
        <v>6278</v>
      </c>
      <c r="B162" s="175">
        <v>0.66</v>
      </c>
      <c r="C162" s="184">
        <v>0.77850877192982459</v>
      </c>
      <c r="D162" s="177">
        <v>296969696.96969694</v>
      </c>
      <c r="E162" s="26"/>
      <c r="F162" s="184">
        <v>-3.133333333333333E-3</v>
      </c>
      <c r="G162" s="177">
        <v>9206060606.060606</v>
      </c>
      <c r="H162" s="177">
        <v>30399748000</v>
      </c>
      <c r="I162" s="175">
        <v>0.3028334513187611</v>
      </c>
      <c r="J162" s="177">
        <v>15.083226632522408</v>
      </c>
    </row>
    <row r="163" spans="1:10">
      <c r="A163" s="65">
        <v>2368</v>
      </c>
      <c r="B163" s="175">
        <v>-0.16</v>
      </c>
      <c r="C163" s="184">
        <v>1</v>
      </c>
      <c r="D163" s="177">
        <v>550000000</v>
      </c>
      <c r="E163" s="26"/>
      <c r="F163" s="184">
        <v>-9.5666666666666678E-3</v>
      </c>
      <c r="G163" s="177">
        <v>6242500000</v>
      </c>
      <c r="H163" s="177">
        <v>20588053000</v>
      </c>
      <c r="I163" s="175">
        <v>0.3032098275635875</v>
      </c>
      <c r="J163" s="177">
        <v>0</v>
      </c>
    </row>
    <row r="164" spans="1:10">
      <c r="A164" s="65">
        <v>2387</v>
      </c>
      <c r="B164" s="175">
        <v>0.1</v>
      </c>
      <c r="C164" s="184">
        <v>0.55333333333333334</v>
      </c>
      <c r="D164" s="177">
        <v>340000000</v>
      </c>
      <c r="E164" s="26"/>
      <c r="F164" s="184">
        <v>1.8733333333333331E-2</v>
      </c>
      <c r="G164" s="177">
        <v>5100000000</v>
      </c>
      <c r="H164" s="177">
        <v>16814989000</v>
      </c>
      <c r="I164" s="175">
        <v>0.30330082285513238</v>
      </c>
      <c r="J164" s="177">
        <v>50</v>
      </c>
    </row>
    <row r="165" spans="1:10">
      <c r="A165" s="65">
        <v>3058</v>
      </c>
      <c r="B165" s="175">
        <v>0.16</v>
      </c>
      <c r="C165" s="184">
        <v>0.14705882352941177</v>
      </c>
      <c r="D165" s="177">
        <v>168750000</v>
      </c>
      <c r="E165" s="26"/>
      <c r="F165" s="184">
        <v>1.080833333333333E-2</v>
      </c>
      <c r="G165" s="177">
        <v>1618312500</v>
      </c>
      <c r="H165" s="177">
        <v>5295064000</v>
      </c>
      <c r="I165" s="175">
        <v>0.30562661754418835</v>
      </c>
      <c r="J165" s="177">
        <v>50</v>
      </c>
    </row>
    <row r="166" spans="1:10">
      <c r="A166" s="65">
        <v>3596</v>
      </c>
      <c r="B166" s="175">
        <v>0.28999999999999998</v>
      </c>
      <c r="C166" s="184">
        <v>0.97590361445783136</v>
      </c>
      <c r="D166" s="177">
        <v>186206896.55172414</v>
      </c>
      <c r="E166" s="26"/>
      <c r="F166" s="184">
        <v>1.7491666666666669E-2</v>
      </c>
      <c r="G166" s="177">
        <v>5967931034.4827576</v>
      </c>
      <c r="H166" s="177">
        <v>19508219000</v>
      </c>
      <c r="I166" s="175">
        <v>0.30591880450402764</v>
      </c>
      <c r="J166" s="177">
        <v>28.311515538527029</v>
      </c>
    </row>
    <row r="167" spans="1:10">
      <c r="A167" s="65">
        <v>6126</v>
      </c>
      <c r="B167" s="175">
        <v>-0.57999999999999996</v>
      </c>
      <c r="C167" s="184">
        <v>1</v>
      </c>
      <c r="D167" s="177">
        <v>112068965.51724139</v>
      </c>
      <c r="E167" s="26"/>
      <c r="F167" s="184">
        <v>-4.6916666666666678E-3</v>
      </c>
      <c r="G167" s="177">
        <v>898793103.44827592</v>
      </c>
      <c r="H167" s="177">
        <v>2931423000</v>
      </c>
      <c r="I167" s="175">
        <v>0.30660641724114052</v>
      </c>
      <c r="J167" s="177">
        <v>0</v>
      </c>
    </row>
    <row r="168" spans="1:10">
      <c r="A168" s="65">
        <v>5381</v>
      </c>
      <c r="B168" s="175">
        <v>-0.6</v>
      </c>
      <c r="C168" s="184">
        <v>0.89500000000000002</v>
      </c>
      <c r="D168" s="177">
        <v>188333333.33333334</v>
      </c>
      <c r="E168" s="26"/>
      <c r="F168" s="184">
        <v>-2.4891666666666663E-2</v>
      </c>
      <c r="G168" s="177">
        <v>369133333.33333337</v>
      </c>
      <c r="H168" s="177">
        <v>1203294000</v>
      </c>
      <c r="I168" s="175">
        <v>0.30676903012342233</v>
      </c>
      <c r="J168" s="177">
        <v>0</v>
      </c>
    </row>
    <row r="169" spans="1:10">
      <c r="A169" s="65">
        <v>6227</v>
      </c>
      <c r="B169" s="175">
        <v>0.38</v>
      </c>
      <c r="C169" s="184">
        <v>0.87037037037037035</v>
      </c>
      <c r="D169" s="177">
        <v>76315789.473684207</v>
      </c>
      <c r="E169" s="26"/>
      <c r="F169" s="184">
        <v>8.7633333333333299E-2</v>
      </c>
      <c r="G169" s="177">
        <v>1461447368.4210525</v>
      </c>
      <c r="H169" s="177">
        <v>4755479000</v>
      </c>
      <c r="I169" s="175">
        <v>0.30731864622282057</v>
      </c>
      <c r="J169" s="177">
        <v>14.475083986562149</v>
      </c>
    </row>
    <row r="170" spans="1:10">
      <c r="A170" s="65">
        <v>3379</v>
      </c>
      <c r="B170" s="175">
        <v>0.04</v>
      </c>
      <c r="C170" s="184">
        <v>1</v>
      </c>
      <c r="D170" s="177">
        <v>25000000</v>
      </c>
      <c r="E170" s="26"/>
      <c r="F170" s="184">
        <v>1.112325</v>
      </c>
      <c r="G170" s="177">
        <v>415000000.00000006</v>
      </c>
      <c r="H170" s="177">
        <v>1350351000</v>
      </c>
      <c r="I170" s="175">
        <v>0.30732750225682065</v>
      </c>
      <c r="J170" s="177">
        <v>50</v>
      </c>
    </row>
    <row r="171" spans="1:10">
      <c r="A171" s="65">
        <v>6112</v>
      </c>
      <c r="B171" s="175">
        <v>0.7</v>
      </c>
      <c r="C171" s="184">
        <v>0.94957983193277307</v>
      </c>
      <c r="D171" s="177">
        <v>91428571.428571433</v>
      </c>
      <c r="E171" s="26"/>
      <c r="F171" s="184">
        <v>6.3666666666666663E-3</v>
      </c>
      <c r="G171" s="177">
        <v>2633142857.1428576</v>
      </c>
      <c r="H171" s="177">
        <v>8481423000</v>
      </c>
      <c r="I171" s="175">
        <v>0.31046003213645368</v>
      </c>
      <c r="J171" s="177">
        <v>10.831858407079647</v>
      </c>
    </row>
    <row r="172" spans="1:10">
      <c r="A172" s="65">
        <v>6125</v>
      </c>
      <c r="B172" s="175">
        <v>7.0000000000000007E-2</v>
      </c>
      <c r="C172" s="184">
        <v>0</v>
      </c>
      <c r="D172" s="177">
        <v>242857142.85714284</v>
      </c>
      <c r="E172" s="26"/>
      <c r="F172" s="184">
        <v>3.4200000000000001E-2</v>
      </c>
      <c r="G172" s="177">
        <v>3181428571.4285712</v>
      </c>
      <c r="H172" s="177">
        <v>10242022000</v>
      </c>
      <c r="I172" s="175">
        <v>0.31062504761545828</v>
      </c>
      <c r="J172" s="177">
        <v>0</v>
      </c>
    </row>
    <row r="173" spans="1:10">
      <c r="A173" s="65">
        <v>2450</v>
      </c>
      <c r="B173" s="175">
        <v>0.92</v>
      </c>
      <c r="C173" s="184">
        <v>0.60869565217391308</v>
      </c>
      <c r="D173" s="177">
        <v>257608695.65217391</v>
      </c>
      <c r="E173" s="26"/>
      <c r="F173" s="184">
        <v>-8.5583333333333345E-3</v>
      </c>
      <c r="G173" s="177">
        <v>11592391304.347826</v>
      </c>
      <c r="H173" s="177">
        <v>37005638000</v>
      </c>
      <c r="I173" s="175">
        <v>0.31326013901848754</v>
      </c>
      <c r="J173" s="177">
        <v>20.089285714285712</v>
      </c>
    </row>
    <row r="174" spans="1:10">
      <c r="A174" s="65">
        <v>2481</v>
      </c>
      <c r="B174" s="175">
        <v>0.2</v>
      </c>
      <c r="C174" s="184">
        <v>1</v>
      </c>
      <c r="D174" s="177">
        <v>385000000</v>
      </c>
      <c r="E174" s="26"/>
      <c r="F174" s="184">
        <v>5.099999999999996E-3</v>
      </c>
      <c r="G174" s="177">
        <v>5005000000</v>
      </c>
      <c r="H174" s="177">
        <v>15905112000</v>
      </c>
      <c r="I174" s="175">
        <v>0.31467870204246284</v>
      </c>
      <c r="J174" s="177">
        <v>16.25</v>
      </c>
    </row>
    <row r="175" spans="1:10">
      <c r="A175" s="65">
        <v>6270</v>
      </c>
      <c r="B175" s="175">
        <v>0.03</v>
      </c>
      <c r="C175" s="184">
        <v>0</v>
      </c>
      <c r="D175" s="177">
        <v>66666666.666666672</v>
      </c>
      <c r="E175" s="26"/>
      <c r="F175" s="184">
        <v>6.1500000000000053E-3</v>
      </c>
      <c r="G175" s="177">
        <v>726666666.66666675</v>
      </c>
      <c r="H175" s="177">
        <v>2298098000</v>
      </c>
      <c r="I175" s="175">
        <v>0.31620351554488396</v>
      </c>
      <c r="J175" s="177">
        <v>0</v>
      </c>
    </row>
    <row r="176" spans="1:10">
      <c r="A176" s="65">
        <v>1215</v>
      </c>
      <c r="B176" s="180">
        <v>0.42</v>
      </c>
      <c r="C176" s="184">
        <v>0.88808664259927794</v>
      </c>
      <c r="D176" s="181">
        <v>242857142.85714287</v>
      </c>
      <c r="E176" s="179"/>
      <c r="F176" s="184">
        <v>-3.5833333333333225E-4</v>
      </c>
      <c r="G176" s="181">
        <v>5342857142.8571434</v>
      </c>
      <c r="H176" s="181">
        <v>16893560000</v>
      </c>
      <c r="I176" s="180">
        <v>0.31626591096590317</v>
      </c>
      <c r="J176" s="181">
        <v>14.745451025938833</v>
      </c>
    </row>
    <row r="177" spans="1:10">
      <c r="A177" s="65">
        <v>2543</v>
      </c>
      <c r="B177" s="175">
        <v>0.09</v>
      </c>
      <c r="C177" s="184">
        <v>0.4861111111111111</v>
      </c>
      <c r="D177" s="177">
        <v>233333333.33333334</v>
      </c>
      <c r="E177" s="26"/>
      <c r="F177" s="184">
        <v>-5.0916666666666671E-3</v>
      </c>
      <c r="G177" s="177">
        <v>1932000000</v>
      </c>
      <c r="H177" s="177">
        <v>6104847000</v>
      </c>
      <c r="I177" s="175">
        <v>0.31646984764728747</v>
      </c>
      <c r="J177" s="177">
        <v>47.314285714285717</v>
      </c>
    </row>
    <row r="178" spans="1:10">
      <c r="A178" s="65">
        <v>3522</v>
      </c>
      <c r="B178" s="175">
        <v>-0.37</v>
      </c>
      <c r="C178" s="184">
        <v>1</v>
      </c>
      <c r="D178" s="177">
        <v>48648648.648648649</v>
      </c>
      <c r="E178" s="26"/>
      <c r="F178" s="184">
        <v>-8.0000000000000036E-3</v>
      </c>
      <c r="G178" s="177">
        <v>527837837.83783782</v>
      </c>
      <c r="H178" s="177">
        <v>1667248000</v>
      </c>
      <c r="I178" s="175">
        <v>0.31659227531707207</v>
      </c>
      <c r="J178" s="177">
        <v>0</v>
      </c>
    </row>
    <row r="179" spans="1:10">
      <c r="A179" s="65">
        <v>1735</v>
      </c>
      <c r="B179" s="175">
        <v>0.36</v>
      </c>
      <c r="C179" s="184">
        <v>1</v>
      </c>
      <c r="D179" s="177">
        <v>100000000</v>
      </c>
      <c r="E179" s="26"/>
      <c r="F179" s="184">
        <v>1.3774999999999994E-2</v>
      </c>
      <c r="G179" s="177">
        <v>1190000000</v>
      </c>
      <c r="H179" s="177">
        <v>3723797000</v>
      </c>
      <c r="I179" s="175">
        <v>0.31956629214750426</v>
      </c>
      <c r="J179" s="177">
        <v>8.2638888888888893</v>
      </c>
    </row>
    <row r="180" spans="1:10">
      <c r="A180" s="65">
        <v>6163</v>
      </c>
      <c r="B180" s="175">
        <v>0.5</v>
      </c>
      <c r="C180" s="184">
        <v>0.4</v>
      </c>
      <c r="D180" s="177">
        <v>102000000</v>
      </c>
      <c r="E180" s="26"/>
      <c r="F180" s="184">
        <v>7.3541666666666686E-2</v>
      </c>
      <c r="G180" s="177">
        <v>1116900000</v>
      </c>
      <c r="H180" s="177">
        <v>3484876000</v>
      </c>
      <c r="I180" s="175">
        <v>0.32049920858016184</v>
      </c>
      <c r="J180" s="177">
        <v>13.687499999999998</v>
      </c>
    </row>
    <row r="181" spans="1:10">
      <c r="A181" s="65">
        <v>6220</v>
      </c>
      <c r="B181" s="175">
        <v>0.33</v>
      </c>
      <c r="C181" s="184">
        <v>1</v>
      </c>
      <c r="D181" s="177">
        <v>130303030.3030303</v>
      </c>
      <c r="E181" s="26"/>
      <c r="F181" s="184">
        <v>4.4016666666666669E-2</v>
      </c>
      <c r="G181" s="177">
        <v>2228181818.1818185</v>
      </c>
      <c r="H181" s="177">
        <v>6931978000</v>
      </c>
      <c r="I181" s="175">
        <v>0.32143521202488212</v>
      </c>
      <c r="J181" s="177">
        <v>12.954545454545455</v>
      </c>
    </row>
    <row r="182" spans="1:10">
      <c r="A182" s="65">
        <v>8938</v>
      </c>
      <c r="B182" s="175">
        <v>-1.39</v>
      </c>
      <c r="C182" s="184">
        <v>0.69090909090909092</v>
      </c>
      <c r="D182" s="177">
        <v>134532374.10071942</v>
      </c>
      <c r="E182" s="26"/>
      <c r="F182" s="184">
        <v>6.5441666666666676E-2</v>
      </c>
      <c r="G182" s="177">
        <v>2825179856.115108</v>
      </c>
      <c r="H182" s="177">
        <v>8759059000</v>
      </c>
      <c r="I182" s="175">
        <v>0.32254376367542542</v>
      </c>
      <c r="J182" s="177">
        <v>0</v>
      </c>
    </row>
    <row r="183" spans="1:10">
      <c r="A183" s="65">
        <v>4915</v>
      </c>
      <c r="B183" s="175">
        <v>0.91</v>
      </c>
      <c r="C183" s="184">
        <v>0.72620599739243807</v>
      </c>
      <c r="D183" s="177">
        <v>438461538.46153843</v>
      </c>
      <c r="E183" s="26"/>
      <c r="F183" s="184">
        <v>3.7316666666666679E-2</v>
      </c>
      <c r="G183" s="177">
        <v>18941538461.53846</v>
      </c>
      <c r="H183" s="177">
        <v>58693059000</v>
      </c>
      <c r="I183" s="175">
        <v>0.32272195016345051</v>
      </c>
      <c r="J183" s="177">
        <v>16.342651962041547</v>
      </c>
    </row>
    <row r="184" spans="1:10">
      <c r="A184" s="65">
        <v>1626</v>
      </c>
      <c r="B184" s="175">
        <v>1.1200000000000001</v>
      </c>
      <c r="C184" s="184">
        <v>1</v>
      </c>
      <c r="D184" s="177">
        <v>123214285.7142857</v>
      </c>
      <c r="E184" s="26"/>
      <c r="F184" s="184">
        <v>0.16871666666666665</v>
      </c>
      <c r="G184" s="177">
        <v>3659464285.7142854</v>
      </c>
      <c r="H184" s="177">
        <v>11312605000</v>
      </c>
      <c r="I184" s="175">
        <v>0.32348555312541061</v>
      </c>
      <c r="J184" s="177">
        <v>6.6294642857142847</v>
      </c>
    </row>
    <row r="185" spans="1:10">
      <c r="A185" s="65">
        <v>5013</v>
      </c>
      <c r="B185" s="175">
        <v>0.18</v>
      </c>
      <c r="C185" s="184">
        <v>1</v>
      </c>
      <c r="D185" s="177">
        <v>111111111.11111112</v>
      </c>
      <c r="E185" s="26"/>
      <c r="F185" s="184">
        <v>-2.7083333333333382E-3</v>
      </c>
      <c r="G185" s="177">
        <v>1727777777.7777779</v>
      </c>
      <c r="H185" s="177">
        <v>5332690000</v>
      </c>
      <c r="I185" s="175">
        <v>0.32399741552158062</v>
      </c>
      <c r="J185" s="177">
        <v>21.597222222222225</v>
      </c>
    </row>
    <row r="186" spans="1:10">
      <c r="A186" s="65">
        <v>1413</v>
      </c>
      <c r="B186" s="175">
        <v>0.4</v>
      </c>
      <c r="C186" s="184">
        <v>0</v>
      </c>
      <c r="D186" s="177">
        <v>102500000</v>
      </c>
      <c r="E186" s="26"/>
      <c r="F186" s="184">
        <v>8.9166666666666613E-3</v>
      </c>
      <c r="G186" s="177">
        <v>887650000</v>
      </c>
      <c r="H186" s="177">
        <v>2716164000</v>
      </c>
      <c r="I186" s="175">
        <v>0.32680279983093802</v>
      </c>
      <c r="J186" s="177">
        <v>0</v>
      </c>
    </row>
    <row r="187" spans="1:10">
      <c r="A187" s="65">
        <v>3540</v>
      </c>
      <c r="B187" s="175">
        <v>0.05</v>
      </c>
      <c r="C187" s="184">
        <v>0</v>
      </c>
      <c r="D187" s="177">
        <v>60000000</v>
      </c>
      <c r="E187" s="26"/>
      <c r="F187" s="184">
        <v>3.9500000000000021E-3</v>
      </c>
      <c r="G187" s="177">
        <v>840000000</v>
      </c>
      <c r="H187" s="177">
        <v>2564668000</v>
      </c>
      <c r="I187" s="175">
        <v>0.32752777357537116</v>
      </c>
      <c r="J187" s="177">
        <v>0</v>
      </c>
    </row>
    <row r="188" spans="1:10">
      <c r="A188" s="65">
        <v>2636</v>
      </c>
      <c r="B188" s="175">
        <v>0.97</v>
      </c>
      <c r="C188" s="184">
        <v>0.78014184397163122</v>
      </c>
      <c r="D188" s="177">
        <v>101030927.83505155</v>
      </c>
      <c r="E188" s="26"/>
      <c r="F188" s="184">
        <v>-7.9083333333333349E-3</v>
      </c>
      <c r="G188" s="177">
        <v>3334020618.5567012</v>
      </c>
      <c r="H188" s="177">
        <v>10084823000</v>
      </c>
      <c r="I188" s="175">
        <v>0.33059783186642949</v>
      </c>
      <c r="J188" s="177">
        <v>10.902061855670103</v>
      </c>
    </row>
    <row r="189" spans="1:10">
      <c r="A189" s="65">
        <v>8066</v>
      </c>
      <c r="B189" s="175">
        <v>2.38</v>
      </c>
      <c r="C189" s="184">
        <v>1</v>
      </c>
      <c r="D189" s="177">
        <v>21008403.361344539</v>
      </c>
      <c r="E189" s="26"/>
      <c r="F189" s="184">
        <v>1.9033333333333333E-2</v>
      </c>
      <c r="G189" s="177">
        <v>1987394957.9831932</v>
      </c>
      <c r="H189" s="177">
        <v>5858905000</v>
      </c>
      <c r="I189" s="175">
        <v>0.33920928193633337</v>
      </c>
      <c r="J189" s="177">
        <v>9.9369747899159666</v>
      </c>
    </row>
    <row r="190" spans="1:10">
      <c r="A190" s="65">
        <v>3260</v>
      </c>
      <c r="B190" s="175">
        <v>-1.19</v>
      </c>
      <c r="C190" s="184">
        <v>1</v>
      </c>
      <c r="D190" s="177">
        <v>223529411.7647059</v>
      </c>
      <c r="E190" s="26"/>
      <c r="F190" s="184">
        <v>-1.5425000000000003E-2</v>
      </c>
      <c r="G190" s="177">
        <v>7465882352.9411764</v>
      </c>
      <c r="H190" s="177">
        <v>21824300000</v>
      </c>
      <c r="I190" s="175">
        <v>0.34209034667509047</v>
      </c>
      <c r="J190" s="177">
        <v>0</v>
      </c>
    </row>
    <row r="191" spans="1:10">
      <c r="A191" s="65">
        <v>2377</v>
      </c>
      <c r="B191" s="175">
        <v>0.66</v>
      </c>
      <c r="C191" s="184">
        <v>0.9375</v>
      </c>
      <c r="D191" s="177">
        <v>840909090.90909088</v>
      </c>
      <c r="E191" s="26"/>
      <c r="F191" s="184">
        <v>1.514166666666667E-2</v>
      </c>
      <c r="G191" s="177">
        <v>28422727272.727268</v>
      </c>
      <c r="H191" s="177">
        <v>82917618000</v>
      </c>
      <c r="I191" s="175">
        <v>0.34278272770362589</v>
      </c>
      <c r="J191" s="177">
        <v>13.656565656565656</v>
      </c>
    </row>
    <row r="192" spans="1:10">
      <c r="A192" s="65">
        <v>6275</v>
      </c>
      <c r="B192" s="175">
        <v>0.17</v>
      </c>
      <c r="C192" s="184">
        <v>1</v>
      </c>
      <c r="D192" s="177">
        <v>52941176.47058823</v>
      </c>
      <c r="E192" s="26"/>
      <c r="F192" s="184">
        <v>1.6108333333333336E-2</v>
      </c>
      <c r="G192" s="177">
        <v>722647058.82352936</v>
      </c>
      <c r="H192" s="177">
        <v>2104353000</v>
      </c>
      <c r="I192" s="175">
        <v>0.34340581586051833</v>
      </c>
      <c r="J192" s="177">
        <v>20.073529411764707</v>
      </c>
    </row>
    <row r="193" spans="1:11">
      <c r="A193" s="65">
        <v>6167</v>
      </c>
      <c r="B193" s="175">
        <v>0.08</v>
      </c>
      <c r="C193" s="184">
        <v>1</v>
      </c>
      <c r="D193" s="177">
        <v>150000000</v>
      </c>
      <c r="E193" s="26"/>
      <c r="F193" s="184">
        <v>5.3416666666666578E-3</v>
      </c>
      <c r="G193" s="177">
        <v>672000000.00000012</v>
      </c>
      <c r="H193" s="177">
        <v>1947678000</v>
      </c>
      <c r="I193" s="175">
        <v>0.34502623123534798</v>
      </c>
      <c r="J193" s="177">
        <v>14.000000000000002</v>
      </c>
    </row>
    <row r="194" spans="1:11">
      <c r="A194" s="65">
        <v>1441</v>
      </c>
      <c r="B194" s="175">
        <v>-0.09</v>
      </c>
      <c r="C194" s="184">
        <v>0.46341463414634149</v>
      </c>
      <c r="D194" s="177">
        <v>88888888.888888896</v>
      </c>
      <c r="E194" s="26"/>
      <c r="F194" s="184">
        <v>3.2883333333333327E-2</v>
      </c>
      <c r="G194" s="177">
        <v>673777777.77777779</v>
      </c>
      <c r="H194" s="177">
        <v>1950391000</v>
      </c>
      <c r="I194" s="175">
        <v>0.34545779680985905</v>
      </c>
      <c r="J194" s="177">
        <v>0</v>
      </c>
    </row>
    <row r="195" spans="1:11">
      <c r="A195" s="65">
        <v>3015</v>
      </c>
      <c r="B195" s="175">
        <v>-0.23</v>
      </c>
      <c r="C195" s="184">
        <v>1</v>
      </c>
      <c r="D195" s="177">
        <v>234782608.69565216</v>
      </c>
      <c r="E195" s="26"/>
      <c r="F195" s="184">
        <v>1.0283333333333334E-2</v>
      </c>
      <c r="G195" s="177">
        <v>4813043478.260869</v>
      </c>
      <c r="H195" s="177">
        <v>13908004000</v>
      </c>
      <c r="I195" s="175">
        <v>0.34606284828943601</v>
      </c>
      <c r="J195" s="177">
        <v>0</v>
      </c>
    </row>
    <row r="196" spans="1:11">
      <c r="A196" s="65">
        <v>4306</v>
      </c>
      <c r="B196" s="175">
        <v>0.69</v>
      </c>
      <c r="C196" s="184">
        <v>6.25E-2</v>
      </c>
      <c r="D196" s="177">
        <v>511594202.89855075</v>
      </c>
      <c r="E196" s="26"/>
      <c r="F196" s="184">
        <v>-1.0583333333333354E-3</v>
      </c>
      <c r="G196" s="177">
        <v>6343768115.942029</v>
      </c>
      <c r="H196" s="177">
        <v>18290354000</v>
      </c>
      <c r="I196" s="175">
        <v>0.34683681441824632</v>
      </c>
      <c r="J196" s="177">
        <v>50</v>
      </c>
    </row>
    <row r="197" spans="1:11">
      <c r="A197" s="65">
        <v>3380</v>
      </c>
      <c r="B197" s="175">
        <v>0</v>
      </c>
      <c r="C197" s="184">
        <v>0</v>
      </c>
      <c r="D197" s="177">
        <v>442900000</v>
      </c>
      <c r="E197" s="26"/>
      <c r="F197" s="184">
        <v>3.1616666666666661E-2</v>
      </c>
      <c r="G197" s="177">
        <v>8237940000.000001</v>
      </c>
      <c r="H197" s="177">
        <v>23737343000</v>
      </c>
      <c r="I197" s="175">
        <v>0.34704558130200169</v>
      </c>
      <c r="J197" s="177">
        <v>0</v>
      </c>
    </row>
    <row r="198" spans="1:11">
      <c r="A198" s="65">
        <v>2459</v>
      </c>
      <c r="B198" s="175">
        <v>1</v>
      </c>
      <c r="C198" s="184">
        <v>0.71957671957671954</v>
      </c>
      <c r="D198" s="177">
        <v>112000000</v>
      </c>
      <c r="E198" s="26"/>
      <c r="F198" s="184">
        <v>1.3049999999999997E-2</v>
      </c>
      <c r="G198" s="177">
        <v>3858400000.0000005</v>
      </c>
      <c r="H198" s="177">
        <v>11109455000</v>
      </c>
      <c r="I198" s="175">
        <v>0.34730776622255549</v>
      </c>
      <c r="J198" s="177">
        <v>11.968841911764708</v>
      </c>
    </row>
    <row r="199" spans="1:11">
      <c r="A199" s="65">
        <v>6281</v>
      </c>
      <c r="B199" s="175">
        <v>1.3</v>
      </c>
      <c r="C199" s="184">
        <v>0.92028985507246375</v>
      </c>
      <c r="D199" s="177">
        <v>99230769.230769232</v>
      </c>
      <c r="E199" s="26"/>
      <c r="F199" s="184">
        <v>2.101666666666667E-2</v>
      </c>
      <c r="G199" s="177">
        <v>5646230769.2307692</v>
      </c>
      <c r="H199" s="177">
        <v>16192120000</v>
      </c>
      <c r="I199" s="175">
        <v>0.34870237925798286</v>
      </c>
      <c r="J199" s="177">
        <v>11.8900666262871</v>
      </c>
    </row>
    <row r="200" spans="1:11">
      <c r="A200" s="65">
        <v>8032</v>
      </c>
      <c r="B200" s="175">
        <v>0.53</v>
      </c>
      <c r="C200" s="184">
        <v>0.95744680851063835</v>
      </c>
      <c r="D200" s="177">
        <v>52830188.679245278</v>
      </c>
      <c r="E200" s="26"/>
      <c r="F200" s="184">
        <v>4.2791666666666665E-2</v>
      </c>
      <c r="G200" s="177">
        <v>1466037735.8490565</v>
      </c>
      <c r="H200" s="177">
        <v>4201353000</v>
      </c>
      <c r="I200" s="175">
        <v>0.34894419389398046</v>
      </c>
      <c r="J200" s="177">
        <v>13.67138364779874</v>
      </c>
    </row>
    <row r="201" spans="1:11">
      <c r="A201" s="65">
        <v>8071</v>
      </c>
      <c r="B201" s="175">
        <v>-0.13</v>
      </c>
      <c r="C201" s="184">
        <v>0</v>
      </c>
      <c r="D201" s="177">
        <v>53846153.846153848</v>
      </c>
      <c r="E201" s="26"/>
      <c r="F201" s="184">
        <v>3.0458333333333327E-2</v>
      </c>
      <c r="G201" s="177">
        <v>764615384.61538458</v>
      </c>
      <c r="H201" s="177">
        <v>2189862000</v>
      </c>
      <c r="I201" s="175">
        <v>0.34916144698404949</v>
      </c>
      <c r="J201" s="177">
        <v>0</v>
      </c>
    </row>
    <row r="202" spans="1:11">
      <c r="A202" s="65">
        <v>3207</v>
      </c>
      <c r="B202" s="175">
        <v>-0.43</v>
      </c>
      <c r="C202" s="184">
        <v>1</v>
      </c>
      <c r="D202" s="177">
        <v>39534883.720930234</v>
      </c>
      <c r="E202" s="26"/>
      <c r="F202" s="184">
        <v>1.9016666666666668E-2</v>
      </c>
      <c r="G202" s="177">
        <v>350674418.60465115</v>
      </c>
      <c r="H202" s="177">
        <v>1000886000</v>
      </c>
      <c r="I202" s="175">
        <v>0.3503639961041029</v>
      </c>
      <c r="J202" s="177">
        <v>0</v>
      </c>
    </row>
    <row r="203" spans="1:11">
      <c r="A203" s="65">
        <v>8099</v>
      </c>
      <c r="B203" s="175">
        <v>0.38</v>
      </c>
      <c r="C203" s="184">
        <v>1</v>
      </c>
      <c r="D203" s="177">
        <v>68421052.631578952</v>
      </c>
      <c r="E203" s="26"/>
      <c r="F203" s="184">
        <v>-1.2283333333333332E-2</v>
      </c>
      <c r="G203" s="177">
        <v>1204210526.3157897</v>
      </c>
      <c r="H203" s="177">
        <v>3431249000</v>
      </c>
      <c r="I203" s="175">
        <v>0.35095398973254044</v>
      </c>
      <c r="J203" s="177">
        <v>11.578947368421053</v>
      </c>
    </row>
    <row r="204" spans="1:11">
      <c r="A204" s="65">
        <v>2301</v>
      </c>
      <c r="B204" s="175">
        <v>0.62</v>
      </c>
      <c r="C204" s="184">
        <v>0.76990575235619108</v>
      </c>
      <c r="D204" s="177">
        <v>2308064516.1290321</v>
      </c>
      <c r="E204" s="26"/>
      <c r="F204" s="184">
        <v>8.0333333333333368E-3</v>
      </c>
      <c r="G204" s="177">
        <v>77320161290.322571</v>
      </c>
      <c r="H204" s="177">
        <v>219293958000</v>
      </c>
      <c r="I204" s="175">
        <v>0.35258682909231165</v>
      </c>
      <c r="J204" s="177">
        <v>17.545088440746742</v>
      </c>
    </row>
    <row r="205" spans="1:11">
      <c r="A205" s="65">
        <v>1909</v>
      </c>
      <c r="B205" s="175">
        <v>0.41</v>
      </c>
      <c r="C205" s="184">
        <v>1</v>
      </c>
      <c r="D205" s="177">
        <v>824390243.90243912</v>
      </c>
      <c r="E205" s="26"/>
      <c r="F205" s="184">
        <v>9.7666666666666683E-3</v>
      </c>
      <c r="G205" s="177">
        <v>9686585365.8536606</v>
      </c>
      <c r="H205" s="177">
        <v>27391766000</v>
      </c>
      <c r="I205" s="175">
        <v>0.35363128342486794</v>
      </c>
      <c r="J205" s="177">
        <v>7.1646341463414638</v>
      </c>
    </row>
    <row r="206" spans="1:11">
      <c r="A206" s="65">
        <v>8271</v>
      </c>
      <c r="B206" s="175">
        <v>0.42</v>
      </c>
      <c r="C206" s="184">
        <v>0.86178861788617889</v>
      </c>
      <c r="D206" s="177">
        <v>150000000</v>
      </c>
      <c r="E206" s="26"/>
      <c r="F206" s="184">
        <v>-2.2325000000000001E-2</v>
      </c>
      <c r="G206" s="177">
        <v>2910000000</v>
      </c>
      <c r="H206" s="177">
        <v>8207600000</v>
      </c>
      <c r="I206" s="175">
        <v>0.35454944198060334</v>
      </c>
      <c r="J206" s="177">
        <v>13.399595687331535</v>
      </c>
    </row>
    <row r="207" spans="1:11">
      <c r="A207" s="65">
        <v>2010</v>
      </c>
      <c r="B207" s="175">
        <v>0.16</v>
      </c>
      <c r="C207" s="184">
        <v>0.33653846153846156</v>
      </c>
      <c r="D207" s="177">
        <v>631250000</v>
      </c>
      <c r="E207" s="26"/>
      <c r="F207" s="184">
        <v>-1.0833333333333332E-2</v>
      </c>
      <c r="G207" s="177">
        <v>6078937500.000001</v>
      </c>
      <c r="H207" s="177">
        <v>17134419000</v>
      </c>
      <c r="I207" s="175">
        <v>0.35477931875017188</v>
      </c>
      <c r="J207" s="177">
        <v>44.710714285714289</v>
      </c>
    </row>
    <row r="208" spans="1:11">
      <c r="A208" s="65">
        <v>8068</v>
      </c>
      <c r="B208" s="175">
        <v>0.15</v>
      </c>
      <c r="C208" s="184">
        <v>1</v>
      </c>
      <c r="D208" s="177">
        <v>33333333.333333336</v>
      </c>
      <c r="E208" s="26"/>
      <c r="F208" s="184">
        <v>0.13315000000000002</v>
      </c>
      <c r="G208" s="177">
        <v>536666666.66666675</v>
      </c>
      <c r="H208" s="177">
        <v>1501135000</v>
      </c>
      <c r="I208" s="175">
        <v>0.35750726394805715</v>
      </c>
      <c r="J208" s="177">
        <v>26.833333333333336</v>
      </c>
      <c r="K208" s="32"/>
    </row>
    <row r="209" spans="1:11">
      <c r="A209" s="65">
        <v>2032</v>
      </c>
      <c r="B209" s="175">
        <v>0.2</v>
      </c>
      <c r="C209" s="184">
        <v>9.375E-2</v>
      </c>
      <c r="D209" s="177">
        <v>130000000</v>
      </c>
      <c r="E209" s="26"/>
      <c r="F209" s="184">
        <v>-3.9083333333333366E-3</v>
      </c>
      <c r="G209" s="177">
        <v>1141400000</v>
      </c>
      <c r="H209" s="177">
        <v>3187529000</v>
      </c>
      <c r="I209" s="175">
        <v>0.35808301665647591</v>
      </c>
      <c r="J209" s="177">
        <v>50</v>
      </c>
    </row>
    <row r="210" spans="1:11">
      <c r="A210" s="65">
        <v>4725</v>
      </c>
      <c r="B210" s="175">
        <v>-1.1200000000000001</v>
      </c>
      <c r="C210" s="184">
        <v>0.87562688064192573</v>
      </c>
      <c r="D210" s="177">
        <v>291071428.57142854</v>
      </c>
      <c r="E210" s="26"/>
      <c r="F210" s="184">
        <v>-4.7466666666666678E-2</v>
      </c>
      <c r="G210" s="177">
        <v>5050089285.7142859</v>
      </c>
      <c r="H210" s="177">
        <v>14070587000</v>
      </c>
      <c r="I210" s="175">
        <v>0.35891105934061501</v>
      </c>
      <c r="J210" s="177">
        <v>0</v>
      </c>
    </row>
    <row r="211" spans="1:11">
      <c r="A211" s="65">
        <v>8390</v>
      </c>
      <c r="B211" s="175">
        <v>0.1</v>
      </c>
      <c r="C211" s="184">
        <v>1</v>
      </c>
      <c r="D211" s="177">
        <v>80000000</v>
      </c>
      <c r="E211" s="26"/>
      <c r="F211" s="184">
        <v>2.9941666666666675E-2</v>
      </c>
      <c r="G211" s="177">
        <v>1220000000</v>
      </c>
      <c r="H211" s="177">
        <v>3373031000</v>
      </c>
      <c r="I211" s="175">
        <v>0.36169249556259636</v>
      </c>
      <c r="J211" s="177">
        <v>38.125</v>
      </c>
    </row>
    <row r="212" spans="1:11">
      <c r="A212" s="65">
        <v>8932</v>
      </c>
      <c r="B212" s="175">
        <v>0.44</v>
      </c>
      <c r="C212" s="184">
        <v>1</v>
      </c>
      <c r="D212" s="177">
        <v>47727272.727272727</v>
      </c>
      <c r="E212" s="26"/>
      <c r="F212" s="184">
        <v>7.9716666666666672E-2</v>
      </c>
      <c r="G212" s="177">
        <v>428113636.36363637</v>
      </c>
      <c r="H212" s="177">
        <v>1177761000</v>
      </c>
      <c r="I212" s="175">
        <v>0.3634978882503635</v>
      </c>
      <c r="J212" s="177">
        <v>5.0965909090909092</v>
      </c>
    </row>
    <row r="213" spans="1:11">
      <c r="A213" s="65">
        <v>2486</v>
      </c>
      <c r="B213" s="175">
        <v>-0.37</v>
      </c>
      <c r="C213" s="184">
        <v>0.73493975903614461</v>
      </c>
      <c r="D213" s="177">
        <v>202702702.7027027</v>
      </c>
      <c r="E213" s="26"/>
      <c r="F213" s="184">
        <v>-1.7166666666666684E-3</v>
      </c>
      <c r="G213" s="177">
        <v>2341216216.2162166</v>
      </c>
      <c r="H213" s="177">
        <v>6415616000</v>
      </c>
      <c r="I213" s="175">
        <v>0.36492461771655543</v>
      </c>
      <c r="J213" s="177">
        <v>0</v>
      </c>
    </row>
    <row r="214" spans="1:11">
      <c r="A214" s="65">
        <v>3029</v>
      </c>
      <c r="B214" s="175">
        <v>0.34</v>
      </c>
      <c r="C214" s="184">
        <v>1</v>
      </c>
      <c r="D214" s="177">
        <v>100000000</v>
      </c>
      <c r="E214" s="26"/>
      <c r="F214" s="184">
        <v>4.4008333333333323E-2</v>
      </c>
      <c r="G214" s="177">
        <v>2010000000.0000002</v>
      </c>
      <c r="H214" s="177">
        <v>5498555000</v>
      </c>
      <c r="I214" s="175">
        <v>0.36555058556293429</v>
      </c>
      <c r="J214" s="177">
        <v>14.779411764705882</v>
      </c>
    </row>
    <row r="215" spans="1:11">
      <c r="A215" s="65">
        <v>1455</v>
      </c>
      <c r="B215" s="175">
        <v>0.44</v>
      </c>
      <c r="C215" s="184">
        <v>0.27586206896551724</v>
      </c>
      <c r="D215" s="177">
        <v>613636363.63636363</v>
      </c>
      <c r="E215" s="26"/>
      <c r="F215" s="184">
        <v>-1.61E-2</v>
      </c>
      <c r="G215" s="177">
        <v>5805000000</v>
      </c>
      <c r="H215" s="177">
        <v>15802977000</v>
      </c>
      <c r="I215" s="175">
        <v>0.36733585070711677</v>
      </c>
      <c r="J215" s="177">
        <v>19.484375</v>
      </c>
    </row>
    <row r="216" spans="1:11">
      <c r="A216" s="65">
        <v>3162</v>
      </c>
      <c r="B216" s="175">
        <v>-0.04</v>
      </c>
      <c r="C216" s="184">
        <v>0</v>
      </c>
      <c r="D216" s="177">
        <v>50000000</v>
      </c>
      <c r="E216" s="26"/>
      <c r="F216" s="184">
        <v>-7.9333333333333356E-3</v>
      </c>
      <c r="G216" s="177">
        <v>301500000</v>
      </c>
      <c r="H216" s="177">
        <v>820096000</v>
      </c>
      <c r="I216" s="175">
        <v>0.36763988606211956</v>
      </c>
      <c r="J216" s="177">
        <v>0</v>
      </c>
    </row>
    <row r="217" spans="1:11">
      <c r="A217" s="65">
        <v>6134</v>
      </c>
      <c r="B217" s="175">
        <v>-0.39</v>
      </c>
      <c r="C217" s="184">
        <v>0.97333333333333338</v>
      </c>
      <c r="D217" s="177">
        <v>89743589.743589744</v>
      </c>
      <c r="E217" s="26"/>
      <c r="F217" s="184">
        <v>-3.1583333333333372E-3</v>
      </c>
      <c r="G217" s="177">
        <v>627307692.30769229</v>
      </c>
      <c r="H217" s="177">
        <v>1705145000</v>
      </c>
      <c r="I217" s="175">
        <v>0.36789111325294466</v>
      </c>
      <c r="J217" s="177">
        <v>0</v>
      </c>
    </row>
    <row r="218" spans="1:11">
      <c r="A218" s="65">
        <v>3011</v>
      </c>
      <c r="B218" s="175">
        <v>-0.36</v>
      </c>
      <c r="C218" s="184">
        <v>1</v>
      </c>
      <c r="D218" s="177">
        <v>113888888.8888889</v>
      </c>
      <c r="E218" s="26"/>
      <c r="F218" s="184">
        <v>5.2833333333333317E-3</v>
      </c>
      <c r="G218" s="177">
        <v>775583333.33333337</v>
      </c>
      <c r="H218" s="177">
        <v>2100869000</v>
      </c>
      <c r="I218" s="175">
        <v>0.3691726296753074</v>
      </c>
      <c r="J218" s="177">
        <v>0</v>
      </c>
    </row>
    <row r="219" spans="1:11">
      <c r="A219" s="65">
        <v>3323</v>
      </c>
      <c r="B219" s="175">
        <v>-0.19</v>
      </c>
      <c r="C219" s="184">
        <v>0.9285714285714286</v>
      </c>
      <c r="D219" s="177">
        <v>94736842.105263159</v>
      </c>
      <c r="E219" s="26"/>
      <c r="F219" s="184">
        <v>2.2166666666666632E-3</v>
      </c>
      <c r="G219" s="177">
        <v>1856842105.2631581</v>
      </c>
      <c r="H219" s="177">
        <v>5013530000</v>
      </c>
      <c r="I219" s="175">
        <v>0.37036621008813314</v>
      </c>
      <c r="J219" s="177">
        <v>0</v>
      </c>
    </row>
    <row r="220" spans="1:11">
      <c r="A220" s="65">
        <v>3037</v>
      </c>
      <c r="B220" s="175">
        <v>-0.14000000000000001</v>
      </c>
      <c r="C220" s="184">
        <v>0.68564036222509706</v>
      </c>
      <c r="D220" s="177">
        <v>1542857142.8571427</v>
      </c>
      <c r="E220" s="26"/>
      <c r="F220" s="184">
        <v>9.9916666666666661E-3</v>
      </c>
      <c r="G220" s="177">
        <v>23682857142.85714</v>
      </c>
      <c r="H220" s="177">
        <v>63919791000</v>
      </c>
      <c r="I220" s="175">
        <v>0.3705089890368562</v>
      </c>
      <c r="J220" s="177">
        <v>0</v>
      </c>
    </row>
    <row r="221" spans="1:11">
      <c r="A221" s="65">
        <v>1608</v>
      </c>
      <c r="B221" s="175">
        <v>-0.02</v>
      </c>
      <c r="C221" s="184">
        <v>0</v>
      </c>
      <c r="D221" s="177">
        <v>450000000</v>
      </c>
      <c r="E221" s="26"/>
      <c r="F221" s="184">
        <v>-1.4458333333333332E-2</v>
      </c>
      <c r="G221" s="177">
        <v>3267000000</v>
      </c>
      <c r="H221" s="177">
        <v>8785592000</v>
      </c>
      <c r="I221" s="175">
        <v>0.37185883432784039</v>
      </c>
      <c r="J221" s="177">
        <v>0</v>
      </c>
    </row>
    <row r="222" spans="1:11">
      <c r="A222" s="65">
        <v>3017</v>
      </c>
      <c r="B222" s="175">
        <v>0.43</v>
      </c>
      <c r="C222" s="184">
        <v>0.71661237785016285</v>
      </c>
      <c r="D222" s="177">
        <v>353488372.09302324</v>
      </c>
      <c r="E222" s="26"/>
      <c r="F222" s="184">
        <v>1.5116666666666667E-2</v>
      </c>
      <c r="G222" s="177">
        <v>9491162790.6976738</v>
      </c>
      <c r="H222" s="177">
        <v>25331218000</v>
      </c>
      <c r="I222" s="175">
        <v>0.37468244877517037</v>
      </c>
      <c r="J222" s="177">
        <v>21.783694503171247</v>
      </c>
    </row>
    <row r="223" spans="1:11">
      <c r="A223" s="65">
        <v>3114</v>
      </c>
      <c r="B223" s="175">
        <v>0.04</v>
      </c>
      <c r="C223" s="184">
        <v>1</v>
      </c>
      <c r="D223" s="177">
        <v>50000000</v>
      </c>
      <c r="E223" s="26"/>
      <c r="F223" s="184">
        <v>3.6741666666666666E-2</v>
      </c>
      <c r="G223" s="177">
        <v>730000000</v>
      </c>
      <c r="H223" s="177">
        <v>1945061000</v>
      </c>
      <c r="I223" s="175">
        <v>0.3753095661267179</v>
      </c>
      <c r="J223" s="177">
        <v>50</v>
      </c>
    </row>
    <row r="224" spans="1:11">
      <c r="A224" s="65">
        <v>3706</v>
      </c>
      <c r="B224" s="175">
        <v>0.69</v>
      </c>
      <c r="C224" s="184">
        <v>0.22665267576075551</v>
      </c>
      <c r="D224" s="177">
        <v>755072463.768116</v>
      </c>
      <c r="E224" s="26"/>
      <c r="F224" s="184">
        <v>2.7608333333333335E-2</v>
      </c>
      <c r="G224" s="177">
        <v>19556376811.594204</v>
      </c>
      <c r="H224" s="177">
        <v>52084685000</v>
      </c>
      <c r="I224" s="175">
        <v>0.37547269051534449</v>
      </c>
      <c r="J224" s="177">
        <v>41.402811325818568</v>
      </c>
      <c r="K224" s="32"/>
    </row>
    <row r="225" spans="1:10">
      <c r="A225" s="65">
        <v>3211</v>
      </c>
      <c r="B225" s="175">
        <v>0.7</v>
      </c>
      <c r="C225" s="184">
        <v>0.15830115830115829</v>
      </c>
      <c r="D225" s="177">
        <v>152857142.85714287</v>
      </c>
      <c r="E225" s="26"/>
      <c r="F225" s="184">
        <v>7.6666666666666619E-3</v>
      </c>
      <c r="G225" s="177">
        <v>8346000000.000001</v>
      </c>
      <c r="H225" s="177">
        <v>22199003000</v>
      </c>
      <c r="I225" s="175">
        <v>0.37596283040278883</v>
      </c>
      <c r="J225" s="177">
        <v>50</v>
      </c>
    </row>
    <row r="226" spans="1:10">
      <c r="A226" s="65">
        <v>3313</v>
      </c>
      <c r="B226" s="175">
        <v>-0.67</v>
      </c>
      <c r="C226" s="184">
        <v>0.94444444444444442</v>
      </c>
      <c r="D226" s="177">
        <v>83582089.552238807</v>
      </c>
      <c r="E226" s="26"/>
      <c r="F226" s="184">
        <v>-1.8391666666666664E-2</v>
      </c>
      <c r="G226" s="177">
        <v>674507462.68656719</v>
      </c>
      <c r="H226" s="177">
        <v>1792992000</v>
      </c>
      <c r="I226" s="175">
        <v>0.37619100513921266</v>
      </c>
      <c r="J226" s="177">
        <v>0</v>
      </c>
    </row>
    <row r="227" spans="1:10">
      <c r="A227" s="65">
        <v>3062</v>
      </c>
      <c r="B227" s="175">
        <v>0.23</v>
      </c>
      <c r="C227" s="184">
        <v>1</v>
      </c>
      <c r="D227" s="177">
        <v>330434782.60869563</v>
      </c>
      <c r="E227" s="26"/>
      <c r="F227" s="184">
        <v>-8.5499999999999951E-3</v>
      </c>
      <c r="G227" s="177">
        <v>5733043478.26087</v>
      </c>
      <c r="H227" s="177">
        <v>15211453000</v>
      </c>
      <c r="I227" s="175">
        <v>0.3768899314392169</v>
      </c>
      <c r="J227" s="177">
        <v>18.858695652173914</v>
      </c>
    </row>
    <row r="228" spans="1:10">
      <c r="A228" s="65">
        <v>3047</v>
      </c>
      <c r="B228" s="175">
        <v>0.11</v>
      </c>
      <c r="C228" s="184">
        <v>1</v>
      </c>
      <c r="D228" s="177">
        <v>200000000</v>
      </c>
      <c r="E228" s="26"/>
      <c r="F228" s="184">
        <v>3.9083333333333322E-3</v>
      </c>
      <c r="G228" s="177">
        <v>2180000000</v>
      </c>
      <c r="H228" s="177">
        <v>5738752000</v>
      </c>
      <c r="I228" s="175">
        <v>0.37987353347905606</v>
      </c>
      <c r="J228" s="177">
        <v>24.772727272727273</v>
      </c>
    </row>
    <row r="229" spans="1:10">
      <c r="A229" s="65">
        <v>2328</v>
      </c>
      <c r="B229" s="175">
        <v>0.08</v>
      </c>
      <c r="C229" s="184">
        <v>1</v>
      </c>
      <c r="D229" s="177">
        <v>500000000</v>
      </c>
      <c r="E229" s="26"/>
      <c r="F229" s="184">
        <v>4.9700000000000015E-2</v>
      </c>
      <c r="G229" s="177">
        <v>7000000000</v>
      </c>
      <c r="H229" s="177">
        <v>18346408000</v>
      </c>
      <c r="I229" s="175">
        <v>0.38154607703044652</v>
      </c>
      <c r="J229" s="177">
        <v>43.75</v>
      </c>
    </row>
    <row r="230" spans="1:10">
      <c r="A230" s="65">
        <v>6246</v>
      </c>
      <c r="B230" s="175">
        <v>0.1</v>
      </c>
      <c r="C230" s="184">
        <v>0.86567164179104472</v>
      </c>
      <c r="D230" s="177">
        <v>140000000</v>
      </c>
      <c r="E230" s="26"/>
      <c r="F230" s="184">
        <v>-9.5833333333333326E-3</v>
      </c>
      <c r="G230" s="177">
        <v>358400000</v>
      </c>
      <c r="H230" s="177">
        <v>938469000</v>
      </c>
      <c r="I230" s="175">
        <v>0.38189860293733729</v>
      </c>
      <c r="J230" s="177">
        <v>7.3931034482758617</v>
      </c>
    </row>
    <row r="231" spans="1:10">
      <c r="A231" s="65">
        <v>9950</v>
      </c>
      <c r="B231" s="175">
        <v>0.17</v>
      </c>
      <c r="C231" s="184">
        <v>0.80769230769230771</v>
      </c>
      <c r="D231" s="177">
        <v>64705882.35294117</v>
      </c>
      <c r="E231" s="26"/>
      <c r="F231" s="184">
        <v>5.7958333333333341E-2</v>
      </c>
      <c r="G231" s="177">
        <v>1303823529.4117644</v>
      </c>
      <c r="H231" s="177">
        <v>3406368000</v>
      </c>
      <c r="I231" s="175">
        <v>0.38276062052360882</v>
      </c>
      <c r="J231" s="177">
        <v>36.687675070028007</v>
      </c>
    </row>
    <row r="232" spans="1:10">
      <c r="A232" s="65">
        <v>6213</v>
      </c>
      <c r="B232" s="175">
        <v>0.56999999999999995</v>
      </c>
      <c r="C232" s="184">
        <v>1</v>
      </c>
      <c r="D232" s="177">
        <v>315789473.68421054</v>
      </c>
      <c r="E232" s="26"/>
      <c r="F232" s="184">
        <v>4.2166666666666646E-3</v>
      </c>
      <c r="G232" s="177">
        <v>7263157894.7368422</v>
      </c>
      <c r="H232" s="177">
        <v>18937750000</v>
      </c>
      <c r="I232" s="175">
        <v>0.38352802707485534</v>
      </c>
      <c r="J232" s="177">
        <v>10.087719298245615</v>
      </c>
    </row>
    <row r="233" spans="1:10">
      <c r="A233" s="65">
        <v>9962</v>
      </c>
      <c r="B233" s="175">
        <v>0.02</v>
      </c>
      <c r="C233" s="184">
        <v>0.94117647058823528</v>
      </c>
      <c r="D233" s="177">
        <v>100000000</v>
      </c>
      <c r="E233" s="26"/>
      <c r="F233" s="184">
        <v>-4.800000000000003E-3</v>
      </c>
      <c r="G233" s="177">
        <v>813000000.00000012</v>
      </c>
      <c r="H233" s="177">
        <v>2109701000</v>
      </c>
      <c r="I233" s="175">
        <v>0.38536266513596007</v>
      </c>
      <c r="J233" s="177">
        <v>50</v>
      </c>
    </row>
    <row r="234" spans="1:10">
      <c r="A234" s="65">
        <v>3317</v>
      </c>
      <c r="B234" s="175">
        <v>-0.42</v>
      </c>
      <c r="C234" s="184">
        <v>0.7</v>
      </c>
      <c r="D234" s="177">
        <v>61904761.90476191</v>
      </c>
      <c r="E234" s="26"/>
      <c r="F234" s="184">
        <v>2.41E-2</v>
      </c>
      <c r="G234" s="177">
        <v>761428571.42857158</v>
      </c>
      <c r="H234" s="177">
        <v>1973036000</v>
      </c>
      <c r="I234" s="175">
        <v>0.38591722169720755</v>
      </c>
      <c r="J234" s="177">
        <v>0</v>
      </c>
    </row>
    <row r="235" spans="1:10">
      <c r="A235" s="65">
        <v>4924</v>
      </c>
      <c r="B235" s="175">
        <v>0.09</v>
      </c>
      <c r="C235" s="184">
        <v>1</v>
      </c>
      <c r="D235" s="177">
        <v>33333333.333333336</v>
      </c>
      <c r="E235" s="26"/>
      <c r="F235" s="184">
        <v>-1.5416666666666669E-2</v>
      </c>
      <c r="G235" s="177">
        <v>231333333.33333337</v>
      </c>
      <c r="H235" s="177">
        <v>599195000</v>
      </c>
      <c r="I235" s="175">
        <v>0.38607353755177093</v>
      </c>
      <c r="J235" s="177">
        <v>19.277777777777779</v>
      </c>
    </row>
    <row r="236" spans="1:10">
      <c r="A236" s="65">
        <v>6221</v>
      </c>
      <c r="B236" s="175">
        <v>0.61</v>
      </c>
      <c r="C236" s="184">
        <v>1</v>
      </c>
      <c r="D236" s="177">
        <v>37704918.032786883</v>
      </c>
      <c r="E236" s="26"/>
      <c r="F236" s="184">
        <v>5.8816666666666656E-2</v>
      </c>
      <c r="G236" s="177">
        <v>897377049.18032789</v>
      </c>
      <c r="H236" s="177">
        <v>2322750000</v>
      </c>
      <c r="I236" s="175">
        <v>0.3863425031451202</v>
      </c>
      <c r="J236" s="177">
        <v>9.754098360655739</v>
      </c>
    </row>
    <row r="237" spans="1:10">
      <c r="A237" s="65">
        <v>2034</v>
      </c>
      <c r="B237" s="175">
        <v>0.21</v>
      </c>
      <c r="C237" s="184">
        <v>1</v>
      </c>
      <c r="D237" s="177">
        <v>371428571.42857146</v>
      </c>
      <c r="E237" s="26"/>
      <c r="F237" s="184">
        <v>-2.5150000000000006E-2</v>
      </c>
      <c r="G237" s="177">
        <v>7410000000</v>
      </c>
      <c r="H237" s="177">
        <v>19114313000</v>
      </c>
      <c r="I237" s="175">
        <v>0.38766760803801842</v>
      </c>
      <c r="J237" s="177">
        <v>23.75</v>
      </c>
    </row>
    <row r="238" spans="1:10">
      <c r="A238" s="65">
        <v>5475</v>
      </c>
      <c r="B238" s="175">
        <v>-0.45</v>
      </c>
      <c r="C238" s="184">
        <v>1</v>
      </c>
      <c r="D238" s="177">
        <v>220000000</v>
      </c>
      <c r="E238" s="26"/>
      <c r="F238" s="184">
        <v>-1.1791666666666667E-2</v>
      </c>
      <c r="G238" s="177">
        <v>963600000</v>
      </c>
      <c r="H238" s="177">
        <v>2478600000</v>
      </c>
      <c r="I238" s="175">
        <v>0.38876785282014042</v>
      </c>
      <c r="J238" s="177">
        <v>0</v>
      </c>
    </row>
    <row r="239" spans="1:10">
      <c r="A239" s="65">
        <v>1474</v>
      </c>
      <c r="B239" s="175">
        <v>0.2</v>
      </c>
      <c r="C239" s="184">
        <v>1</v>
      </c>
      <c r="D239" s="177">
        <v>130000000</v>
      </c>
      <c r="E239" s="26"/>
      <c r="F239" s="184">
        <v>9.6416666666666612E-3</v>
      </c>
      <c r="G239" s="177">
        <v>1391000000</v>
      </c>
      <c r="H239" s="177">
        <v>3564339000</v>
      </c>
      <c r="I239" s="175">
        <v>0.39025468677362057</v>
      </c>
      <c r="J239" s="177">
        <v>13.374999999999998</v>
      </c>
    </row>
    <row r="240" spans="1:10">
      <c r="A240" s="65">
        <v>2029</v>
      </c>
      <c r="B240" s="175">
        <v>0.35</v>
      </c>
      <c r="C240" s="184">
        <v>1</v>
      </c>
      <c r="D240" s="177">
        <v>322857142.85714287</v>
      </c>
      <c r="E240" s="26"/>
      <c r="F240" s="184">
        <v>-2.8091666666666671E-2</v>
      </c>
      <c r="G240" s="177">
        <v>5779142857.1428566</v>
      </c>
      <c r="H240" s="177">
        <v>14597813000</v>
      </c>
      <c r="I240" s="175">
        <v>0.39589100484729162</v>
      </c>
      <c r="J240" s="177">
        <v>12.785714285714285</v>
      </c>
    </row>
    <row r="241" spans="1:10">
      <c r="A241" s="65">
        <v>2603</v>
      </c>
      <c r="B241" s="175">
        <v>-0.04</v>
      </c>
      <c r="C241" s="184">
        <v>0.9723233794610342</v>
      </c>
      <c r="D241" s="177">
        <v>3825000000</v>
      </c>
      <c r="E241" s="26"/>
      <c r="F241" s="184">
        <v>-1.2416666666666666E-2</v>
      </c>
      <c r="G241" s="177">
        <v>55653750000</v>
      </c>
      <c r="H241" s="177">
        <v>140393286000</v>
      </c>
      <c r="I241" s="175">
        <v>0.39641318745114351</v>
      </c>
      <c r="J241" s="177">
        <v>0</v>
      </c>
    </row>
    <row r="242" spans="1:10">
      <c r="A242" s="65">
        <v>3294</v>
      </c>
      <c r="B242" s="175">
        <v>-0.26</v>
      </c>
      <c r="C242" s="184">
        <v>0.77419354838709675</v>
      </c>
      <c r="D242" s="177">
        <v>130769230.76923077</v>
      </c>
      <c r="E242" s="26"/>
      <c r="F242" s="184">
        <v>4.0200000000000007E-2</v>
      </c>
      <c r="G242" s="177">
        <v>2308076923.0769229</v>
      </c>
      <c r="H242" s="177">
        <v>5796122000</v>
      </c>
      <c r="I242" s="175">
        <v>0.3982105488940576</v>
      </c>
      <c r="J242" s="177">
        <v>0</v>
      </c>
    </row>
    <row r="243" spans="1:10">
      <c r="A243" s="65">
        <v>1418</v>
      </c>
      <c r="B243" s="175">
        <v>-0.21</v>
      </c>
      <c r="C243" s="184">
        <v>1</v>
      </c>
      <c r="D243" s="177">
        <v>123809523.80952382</v>
      </c>
      <c r="E243" s="26"/>
      <c r="F243" s="184">
        <v>0.14124166666666665</v>
      </c>
      <c r="G243" s="177">
        <v>642571428.57142866</v>
      </c>
      <c r="H243" s="177">
        <v>1597212000</v>
      </c>
      <c r="I243" s="175">
        <v>0.40230816483436682</v>
      </c>
      <c r="J243" s="177">
        <v>0</v>
      </c>
    </row>
    <row r="244" spans="1:10">
      <c r="A244" s="65">
        <v>2007</v>
      </c>
      <c r="B244" s="175">
        <v>-0.21</v>
      </c>
      <c r="C244" s="184">
        <v>0.55645161290322576</v>
      </c>
      <c r="D244" s="177">
        <v>642857142.85714293</v>
      </c>
      <c r="E244" s="26"/>
      <c r="F244" s="184">
        <v>1.6808333333333338E-2</v>
      </c>
      <c r="G244" s="177">
        <v>2957142857.1428571</v>
      </c>
      <c r="H244" s="177">
        <v>7343549000</v>
      </c>
      <c r="I244" s="175">
        <v>0.40268579363232371</v>
      </c>
      <c r="J244" s="177">
        <v>0</v>
      </c>
    </row>
    <row r="245" spans="1:10">
      <c r="A245" s="65">
        <v>2376</v>
      </c>
      <c r="B245" s="175">
        <v>0.56999999999999995</v>
      </c>
      <c r="C245" s="184">
        <v>0.32564102564102565</v>
      </c>
      <c r="D245" s="177">
        <v>624561403.50877202</v>
      </c>
      <c r="E245" s="26"/>
      <c r="F245" s="184">
        <v>2.3216666666666667E-2</v>
      </c>
      <c r="G245" s="177">
        <v>20860350877.192986</v>
      </c>
      <c r="H245" s="177">
        <v>51665924000</v>
      </c>
      <c r="I245" s="175">
        <v>0.40375453030111269</v>
      </c>
      <c r="J245" s="177">
        <v>44.985495234148367</v>
      </c>
    </row>
    <row r="246" spans="1:10">
      <c r="A246" s="65">
        <v>2431</v>
      </c>
      <c r="B246" s="175">
        <v>0.03</v>
      </c>
      <c r="C246" s="184">
        <v>0.54054054054054057</v>
      </c>
      <c r="D246" s="177">
        <v>100000000</v>
      </c>
      <c r="E246" s="26"/>
      <c r="F246" s="184">
        <v>-1.0225000000000003E-2</v>
      </c>
      <c r="G246" s="177">
        <v>1639999999.9999998</v>
      </c>
      <c r="H246" s="177">
        <v>4056643000</v>
      </c>
      <c r="I246" s="175">
        <v>0.40427516052065704</v>
      </c>
      <c r="J246" s="177">
        <v>50</v>
      </c>
    </row>
    <row r="247" spans="1:10">
      <c r="A247" s="65">
        <v>1473</v>
      </c>
      <c r="B247" s="175">
        <v>-0.23</v>
      </c>
      <c r="C247" s="184">
        <v>0</v>
      </c>
      <c r="D247" s="177">
        <v>143478260.86956522</v>
      </c>
      <c r="E247" s="26"/>
      <c r="F247" s="184">
        <v>3.3783333333333332E-2</v>
      </c>
      <c r="G247" s="177">
        <v>3766304347.826087</v>
      </c>
      <c r="H247" s="177">
        <v>9301099000</v>
      </c>
      <c r="I247" s="175">
        <v>0.40493111059521963</v>
      </c>
      <c r="J247" s="177">
        <v>0</v>
      </c>
    </row>
    <row r="248" spans="1:10">
      <c r="A248" s="65">
        <v>5225</v>
      </c>
      <c r="B248" s="175">
        <v>0.18</v>
      </c>
      <c r="C248" s="184">
        <v>0</v>
      </c>
      <c r="D248" s="177">
        <v>61111111.111111112</v>
      </c>
      <c r="E248" s="26"/>
      <c r="F248" s="184">
        <v>6.8458333333333329E-2</v>
      </c>
      <c r="G248" s="177">
        <v>3269444444.4444447</v>
      </c>
      <c r="H248" s="177">
        <v>8069853000</v>
      </c>
      <c r="I248" s="175">
        <v>0.40514299881849702</v>
      </c>
      <c r="J248" s="177">
        <v>0</v>
      </c>
    </row>
    <row r="249" spans="1:10">
      <c r="A249" s="65">
        <v>3230</v>
      </c>
      <c r="B249" s="175">
        <v>-0.26</v>
      </c>
      <c r="C249" s="184">
        <v>1</v>
      </c>
      <c r="D249" s="177">
        <v>107692307.6923077</v>
      </c>
      <c r="E249" s="26"/>
      <c r="F249" s="184">
        <v>2.4475E-2</v>
      </c>
      <c r="G249" s="177">
        <v>737692307.69230771</v>
      </c>
      <c r="H249" s="177">
        <v>1813087000</v>
      </c>
      <c r="I249" s="175">
        <v>0.40687088247409403</v>
      </c>
      <c r="J249" s="177">
        <v>0</v>
      </c>
    </row>
    <row r="250" spans="1:10">
      <c r="A250" s="65">
        <v>2017</v>
      </c>
      <c r="B250" s="175">
        <v>0.05</v>
      </c>
      <c r="C250" s="184">
        <v>0.89795918367346939</v>
      </c>
      <c r="D250" s="177">
        <v>360000000</v>
      </c>
      <c r="E250" s="26"/>
      <c r="F250" s="184">
        <v>-2.3208333333333334E-2</v>
      </c>
      <c r="G250" s="177">
        <v>2070000000</v>
      </c>
      <c r="H250" s="177">
        <v>5076789000</v>
      </c>
      <c r="I250" s="175">
        <v>0.40773804071825714</v>
      </c>
      <c r="J250" s="177">
        <v>32.017045454545453</v>
      </c>
    </row>
    <row r="251" spans="1:10">
      <c r="A251" s="65">
        <v>5480</v>
      </c>
      <c r="B251" s="175">
        <v>0.28000000000000003</v>
      </c>
      <c r="C251" s="184">
        <v>0.60396039603960394</v>
      </c>
      <c r="D251" s="177">
        <v>199999999.99999997</v>
      </c>
      <c r="E251" s="26"/>
      <c r="F251" s="184">
        <v>8.6416666666666708E-3</v>
      </c>
      <c r="G251" s="177">
        <v>2489999999.9999995</v>
      </c>
      <c r="H251" s="177">
        <v>6101449000</v>
      </c>
      <c r="I251" s="175">
        <v>0.40809978088811355</v>
      </c>
      <c r="J251" s="177">
        <v>18.405298594847771</v>
      </c>
    </row>
    <row r="252" spans="1:10">
      <c r="A252" s="65">
        <v>2460</v>
      </c>
      <c r="B252" s="175">
        <v>-0.11</v>
      </c>
      <c r="C252" s="184">
        <v>0.96666666666666667</v>
      </c>
      <c r="D252" s="177">
        <v>163636363.63636363</v>
      </c>
      <c r="E252" s="26"/>
      <c r="F252" s="184">
        <v>3.2308333333333328E-2</v>
      </c>
      <c r="G252" s="177">
        <v>1554545454.5454545</v>
      </c>
      <c r="H252" s="177">
        <v>3784149000</v>
      </c>
      <c r="I252" s="175">
        <v>0.41080450440652694</v>
      </c>
      <c r="J252" s="177">
        <v>0</v>
      </c>
    </row>
    <row r="253" spans="1:10" ht="16.5" customHeight="1">
      <c r="A253" s="65">
        <v>1566</v>
      </c>
      <c r="B253" s="175">
        <v>0.12</v>
      </c>
      <c r="C253" s="184">
        <v>0</v>
      </c>
      <c r="D253" s="177">
        <v>66666666.666666672</v>
      </c>
      <c r="E253" s="26"/>
      <c r="F253" s="184">
        <v>0.16057500000000002</v>
      </c>
      <c r="G253" s="177">
        <v>1576666666.6666667</v>
      </c>
      <c r="H253" s="177">
        <v>3837942000</v>
      </c>
      <c r="I253" s="175">
        <v>0.41081044650144966</v>
      </c>
      <c r="J253" s="177">
        <v>0</v>
      </c>
    </row>
    <row r="254" spans="1:10">
      <c r="A254" s="65">
        <v>1218</v>
      </c>
      <c r="B254" s="180">
        <v>-0.04</v>
      </c>
      <c r="C254" s="184">
        <v>1</v>
      </c>
      <c r="D254" s="181">
        <v>325000000</v>
      </c>
      <c r="E254" s="179"/>
      <c r="F254" s="184">
        <v>-4.8833333333333367E-3</v>
      </c>
      <c r="G254" s="181">
        <v>3428750000</v>
      </c>
      <c r="H254" s="181">
        <v>8249951000</v>
      </c>
      <c r="I254" s="180">
        <v>0.41560852906883933</v>
      </c>
      <c r="J254" s="181">
        <v>0</v>
      </c>
    </row>
    <row r="255" spans="1:10">
      <c r="A255" s="65">
        <v>1524</v>
      </c>
      <c r="B255" s="175">
        <v>-0.42</v>
      </c>
      <c r="C255" s="184">
        <v>0</v>
      </c>
      <c r="D255" s="177">
        <v>180952380.95238096</v>
      </c>
      <c r="E255" s="26"/>
      <c r="F255" s="184">
        <v>1.2149999999999999E-2</v>
      </c>
      <c r="G255" s="177">
        <v>1031428571.4285715</v>
      </c>
      <c r="H255" s="177">
        <v>2480075000</v>
      </c>
      <c r="I255" s="175">
        <v>0.41588604031272097</v>
      </c>
      <c r="J255" s="177">
        <v>0</v>
      </c>
    </row>
    <row r="256" spans="1:10">
      <c r="A256" s="65">
        <v>8070</v>
      </c>
      <c r="B256" s="175">
        <v>8.7200000000000006</v>
      </c>
      <c r="C256" s="184">
        <v>0</v>
      </c>
      <c r="D256" s="177">
        <v>76949541.284403667</v>
      </c>
      <c r="E256" s="26"/>
      <c r="F256" s="184">
        <v>-5.7333333333333333E-3</v>
      </c>
      <c r="G256" s="177">
        <v>6540711009.1743116</v>
      </c>
      <c r="H256" s="177">
        <v>15725809000</v>
      </c>
      <c r="I256" s="175">
        <v>0.41592206856730307</v>
      </c>
      <c r="J256" s="177">
        <v>0</v>
      </c>
    </row>
    <row r="257" spans="1:11">
      <c r="A257" s="65">
        <v>5484</v>
      </c>
      <c r="B257" s="175">
        <v>-0.45</v>
      </c>
      <c r="C257" s="184">
        <v>0.85046728971962615</v>
      </c>
      <c r="D257" s="177">
        <v>115555555.55555555</v>
      </c>
      <c r="E257" s="26"/>
      <c r="F257" s="184">
        <v>6.5749999999999949E-3</v>
      </c>
      <c r="G257" s="177">
        <v>521155555.55555552</v>
      </c>
      <c r="H257" s="177">
        <v>1248975000</v>
      </c>
      <c r="I257" s="175">
        <v>0.41726660305895275</v>
      </c>
      <c r="J257" s="177">
        <v>0</v>
      </c>
    </row>
    <row r="258" spans="1:11">
      <c r="A258" s="65">
        <v>6123</v>
      </c>
      <c r="B258" s="175">
        <v>0.42</v>
      </c>
      <c r="C258" s="184">
        <v>1</v>
      </c>
      <c r="D258" s="177">
        <v>54761904.761904761</v>
      </c>
      <c r="E258" s="26"/>
      <c r="F258" s="184">
        <v>-1.4333333333333327E-3</v>
      </c>
      <c r="G258" s="177">
        <v>1544285714.2857141</v>
      </c>
      <c r="H258" s="177">
        <v>3690499000</v>
      </c>
      <c r="I258" s="175">
        <v>0.41844902661827416</v>
      </c>
      <c r="J258" s="177">
        <v>16.785714285714285</v>
      </c>
    </row>
    <row r="259" spans="1:11">
      <c r="A259" s="65">
        <v>8085</v>
      </c>
      <c r="B259" s="175">
        <v>-0.41</v>
      </c>
      <c r="C259" s="184">
        <v>0.86746987951807231</v>
      </c>
      <c r="D259" s="177">
        <v>156097560.97560978</v>
      </c>
      <c r="E259" s="26"/>
      <c r="F259" s="184">
        <v>6.7499999999999624E-4</v>
      </c>
      <c r="G259" s="177">
        <v>775804878.04878056</v>
      </c>
      <c r="H259" s="177">
        <v>1851720000</v>
      </c>
      <c r="I259" s="175">
        <v>0.41896446441620794</v>
      </c>
      <c r="J259" s="177">
        <v>0</v>
      </c>
    </row>
    <row r="260" spans="1:11">
      <c r="A260" s="65">
        <v>3519</v>
      </c>
      <c r="B260" s="175">
        <v>-1.34</v>
      </c>
      <c r="C260" s="184">
        <v>1</v>
      </c>
      <c r="D260" s="177">
        <v>392537313.43283582</v>
      </c>
      <c r="E260" s="26"/>
      <c r="F260" s="184">
        <v>-6.2916666666666676E-3</v>
      </c>
      <c r="G260" s="177">
        <v>6437611940.2985067</v>
      </c>
      <c r="H260" s="177">
        <v>15353547000</v>
      </c>
      <c r="I260" s="175">
        <v>0.41929151226739375</v>
      </c>
      <c r="J260" s="177">
        <v>0</v>
      </c>
    </row>
    <row r="261" spans="1:11">
      <c r="A261" s="65">
        <v>6140</v>
      </c>
      <c r="B261" s="175">
        <v>-0.02</v>
      </c>
      <c r="C261" s="184">
        <v>1</v>
      </c>
      <c r="D261" s="177">
        <v>50000000</v>
      </c>
      <c r="E261" s="26"/>
      <c r="F261" s="184">
        <v>5.3741666666666681E-2</v>
      </c>
      <c r="G261" s="177">
        <v>572500000</v>
      </c>
      <c r="H261" s="177">
        <v>1363448000</v>
      </c>
      <c r="I261" s="175">
        <v>0.41989133432298115</v>
      </c>
      <c r="J261" s="177">
        <v>0</v>
      </c>
    </row>
    <row r="262" spans="1:11">
      <c r="A262" s="65">
        <v>4953</v>
      </c>
      <c r="B262" s="175">
        <v>0.52</v>
      </c>
      <c r="C262" s="184">
        <v>0.8571428571428571</v>
      </c>
      <c r="D262" s="177">
        <v>42307692.307692304</v>
      </c>
      <c r="E262" s="26"/>
      <c r="F262" s="184">
        <v>2.0083333333333335E-2</v>
      </c>
      <c r="G262" s="177">
        <v>1089423076.9230769</v>
      </c>
      <c r="H262" s="177">
        <v>2589422000</v>
      </c>
      <c r="I262" s="175">
        <v>0.42072056116116913</v>
      </c>
      <c r="J262" s="177">
        <v>14.443108974358974</v>
      </c>
    </row>
    <row r="263" spans="1:11">
      <c r="A263" s="65">
        <v>2413</v>
      </c>
      <c r="B263" s="175">
        <v>0.16</v>
      </c>
      <c r="C263" s="184">
        <v>1</v>
      </c>
      <c r="D263" s="177">
        <v>125000000</v>
      </c>
      <c r="E263" s="26"/>
      <c r="F263" s="184">
        <v>5.9083333333333323E-3</v>
      </c>
      <c r="G263" s="177">
        <v>1825000000</v>
      </c>
      <c r="H263" s="177">
        <v>4336470000</v>
      </c>
      <c r="I263" s="175">
        <v>0.42084921606744657</v>
      </c>
      <c r="J263" s="177">
        <v>22.8125</v>
      </c>
    </row>
    <row r="264" spans="1:11">
      <c r="A264" s="65">
        <v>1466</v>
      </c>
      <c r="B264" s="175">
        <v>-0.09</v>
      </c>
      <c r="C264" s="184">
        <v>0</v>
      </c>
      <c r="D264" s="177">
        <v>111111111.11111112</v>
      </c>
      <c r="E264" s="26"/>
      <c r="F264" s="184">
        <v>-2.0174999999999998E-2</v>
      </c>
      <c r="G264" s="177">
        <v>1861111111.1111112</v>
      </c>
      <c r="H264" s="177">
        <v>4410210000</v>
      </c>
      <c r="I264" s="175">
        <v>0.42200056485090531</v>
      </c>
      <c r="J264" s="177">
        <v>0</v>
      </c>
    </row>
    <row r="265" spans="1:11">
      <c r="A265" s="65">
        <v>3694</v>
      </c>
      <c r="B265" s="175">
        <v>-0.19</v>
      </c>
      <c r="C265" s="184">
        <v>0.91509433962264153</v>
      </c>
      <c r="D265" s="177">
        <v>131578947.36842105</v>
      </c>
      <c r="E265" s="26"/>
      <c r="F265" s="184">
        <v>4.448333333333334E-2</v>
      </c>
      <c r="G265" s="177">
        <v>2453947368.4210525</v>
      </c>
      <c r="H265" s="177">
        <v>5789977000</v>
      </c>
      <c r="I265" s="175">
        <v>0.42382679040366694</v>
      </c>
      <c r="J265" s="177">
        <v>0</v>
      </c>
      <c r="K265" s="32"/>
    </row>
    <row r="266" spans="1:11">
      <c r="A266" s="65">
        <v>2911</v>
      </c>
      <c r="B266" s="175">
        <v>-0.51</v>
      </c>
      <c r="C266" s="184">
        <v>0.83116883116883122</v>
      </c>
      <c r="D266" s="177">
        <v>213725490.19607842</v>
      </c>
      <c r="E266" s="26"/>
      <c r="F266" s="184">
        <v>3.908333333333334E-3</v>
      </c>
      <c r="G266" s="177">
        <v>4007352941.1764703</v>
      </c>
      <c r="H266" s="177">
        <v>9450207000</v>
      </c>
      <c r="I266" s="175">
        <v>0.42404922359652758</v>
      </c>
      <c r="J266" s="177">
        <v>0</v>
      </c>
    </row>
    <row r="267" spans="1:11">
      <c r="A267" s="65">
        <v>1569</v>
      </c>
      <c r="B267" s="175">
        <v>-1.77</v>
      </c>
      <c r="C267" s="184">
        <v>0.94921875</v>
      </c>
      <c r="D267" s="177">
        <v>85875706.21468927</v>
      </c>
      <c r="E267" s="26"/>
      <c r="F267" s="184">
        <v>2.4891666666666663E-2</v>
      </c>
      <c r="G267" s="177">
        <v>1021920903.9548024</v>
      </c>
      <c r="H267" s="177">
        <v>2409299000</v>
      </c>
      <c r="I267" s="175">
        <v>0.42415694521717828</v>
      </c>
      <c r="J267" s="177">
        <v>0</v>
      </c>
    </row>
    <row r="268" spans="1:11">
      <c r="A268" s="65">
        <v>3598</v>
      </c>
      <c r="B268" s="175">
        <v>0.56000000000000005</v>
      </c>
      <c r="C268" s="184">
        <v>1</v>
      </c>
      <c r="D268" s="177">
        <v>73214285.714285702</v>
      </c>
      <c r="E268" s="26"/>
      <c r="F268" s="184">
        <v>4.2666666666666591E-3</v>
      </c>
      <c r="G268" s="177">
        <v>3605803571.4285707</v>
      </c>
      <c r="H268" s="177">
        <v>8487975000</v>
      </c>
      <c r="I268" s="175">
        <v>0.42481317056524914</v>
      </c>
      <c r="J268" s="177">
        <v>21.986607142857142</v>
      </c>
    </row>
    <row r="269" spans="1:11">
      <c r="A269" s="65">
        <v>2201</v>
      </c>
      <c r="B269" s="175">
        <v>0.44</v>
      </c>
      <c r="C269" s="184">
        <v>0</v>
      </c>
      <c r="D269" s="177">
        <v>1470454545.4545455</v>
      </c>
      <c r="E269" s="26"/>
      <c r="F269" s="184">
        <v>2.1224999999999994E-2</v>
      </c>
      <c r="G269" s="177">
        <v>51465909090.909096</v>
      </c>
      <c r="H269" s="177">
        <v>120955257000</v>
      </c>
      <c r="I269" s="175">
        <v>0.4254954300242535</v>
      </c>
      <c r="J269" s="177">
        <v>0</v>
      </c>
    </row>
    <row r="270" spans="1:11">
      <c r="A270" s="65">
        <v>1447</v>
      </c>
      <c r="B270" s="175">
        <v>0.17</v>
      </c>
      <c r="C270" s="184">
        <v>1</v>
      </c>
      <c r="D270" s="177">
        <v>823529411.76470578</v>
      </c>
      <c r="E270" s="26"/>
      <c r="F270" s="184">
        <v>-4.333333333333334E-3</v>
      </c>
      <c r="G270" s="177">
        <v>7617647058.8235283</v>
      </c>
      <c r="H270" s="177">
        <v>17802499000</v>
      </c>
      <c r="I270" s="175">
        <v>0.42789762599191994</v>
      </c>
      <c r="J270" s="177">
        <v>13.602941176470587</v>
      </c>
    </row>
    <row r="271" spans="1:11">
      <c r="A271" s="65">
        <v>4609</v>
      </c>
      <c r="B271" s="175">
        <v>-0.59</v>
      </c>
      <c r="C271" s="184">
        <v>0.96</v>
      </c>
      <c r="D271" s="177">
        <v>47457627.118644074</v>
      </c>
      <c r="E271" s="26"/>
      <c r="F271" s="184">
        <v>0.13423333333333334</v>
      </c>
      <c r="G271" s="177">
        <v>470779661.01694924</v>
      </c>
      <c r="H271" s="177">
        <v>1099610000</v>
      </c>
      <c r="I271" s="175">
        <v>0.42813330273183148</v>
      </c>
      <c r="J271" s="177">
        <v>0</v>
      </c>
    </row>
    <row r="272" spans="1:11">
      <c r="A272" s="65">
        <v>2614</v>
      </c>
      <c r="B272" s="175">
        <v>-0.12</v>
      </c>
      <c r="C272" s="184">
        <v>1</v>
      </c>
      <c r="D272" s="177">
        <v>675000000</v>
      </c>
      <c r="E272" s="26"/>
      <c r="F272" s="184">
        <v>7.3250000000000008E-3</v>
      </c>
      <c r="G272" s="177">
        <v>5109750000</v>
      </c>
      <c r="H272" s="177">
        <v>11923674000</v>
      </c>
      <c r="I272" s="175">
        <v>0.42853821733133596</v>
      </c>
      <c r="J272" s="177">
        <v>0</v>
      </c>
    </row>
    <row r="273" spans="1:10">
      <c r="A273" s="65">
        <v>8213</v>
      </c>
      <c r="B273" s="175">
        <v>0.86</v>
      </c>
      <c r="C273" s="184">
        <v>0.81607142857142856</v>
      </c>
      <c r="D273" s="177">
        <v>270930232.55813956</v>
      </c>
      <c r="E273" s="26"/>
      <c r="F273" s="184">
        <v>7.4000000000000003E-3</v>
      </c>
      <c r="G273" s="177">
        <v>9943139534.8837223</v>
      </c>
      <c r="H273" s="177">
        <v>23034009000</v>
      </c>
      <c r="I273" s="175">
        <v>0.43167212163908253</v>
      </c>
      <c r="J273" s="177">
        <v>13.073126049564909</v>
      </c>
    </row>
    <row r="274" spans="1:10">
      <c r="A274" s="65">
        <v>2419</v>
      </c>
      <c r="B274" s="175">
        <v>0.22</v>
      </c>
      <c r="C274" s="184">
        <v>1</v>
      </c>
      <c r="D274" s="177">
        <v>227272727.27272728</v>
      </c>
      <c r="E274" s="26"/>
      <c r="F274" s="184">
        <v>3.6266666666666662E-2</v>
      </c>
      <c r="G274" s="177">
        <v>3306818181.818182</v>
      </c>
      <c r="H274" s="177">
        <v>7638634000</v>
      </c>
      <c r="I274" s="175">
        <v>0.43290700690963618</v>
      </c>
      <c r="J274" s="177">
        <v>16.53409090909091</v>
      </c>
    </row>
    <row r="275" spans="1:10">
      <c r="A275" s="65">
        <v>3324</v>
      </c>
      <c r="B275" s="175">
        <v>-0.04</v>
      </c>
      <c r="C275" s="184">
        <v>0.875</v>
      </c>
      <c r="D275" s="177">
        <v>75000000</v>
      </c>
      <c r="E275" s="26"/>
      <c r="F275" s="184">
        <v>4.4241666666666658E-2</v>
      </c>
      <c r="G275" s="177">
        <v>2006250000</v>
      </c>
      <c r="H275" s="177">
        <v>4628104000</v>
      </c>
      <c r="I275" s="175">
        <v>0.43349285150031203</v>
      </c>
      <c r="J275" s="177">
        <v>0</v>
      </c>
    </row>
    <row r="276" spans="1:10">
      <c r="A276" s="65">
        <v>1471</v>
      </c>
      <c r="B276" s="175">
        <v>-0.53</v>
      </c>
      <c r="C276" s="184">
        <v>1</v>
      </c>
      <c r="D276" s="177">
        <v>201886792.45283017</v>
      </c>
      <c r="E276" s="26"/>
      <c r="F276" s="184">
        <v>-2.6324999999999998E-2</v>
      </c>
      <c r="G276" s="177">
        <v>954924528.3018868</v>
      </c>
      <c r="H276" s="177">
        <v>2196630000</v>
      </c>
      <c r="I276" s="175">
        <v>0.43472251963320485</v>
      </c>
      <c r="J276" s="177">
        <v>0</v>
      </c>
    </row>
    <row r="277" spans="1:10">
      <c r="A277" s="65">
        <v>3043</v>
      </c>
      <c r="B277" s="175">
        <v>0.26</v>
      </c>
      <c r="C277" s="184">
        <v>1</v>
      </c>
      <c r="D277" s="177">
        <v>192307692.30769229</v>
      </c>
      <c r="E277" s="26"/>
      <c r="F277" s="184">
        <v>1.6399999999999991E-2</v>
      </c>
      <c r="G277" s="177">
        <v>632692307.69230759</v>
      </c>
      <c r="H277" s="177">
        <v>1449606000</v>
      </c>
      <c r="I277" s="175">
        <v>0.43645811875248003</v>
      </c>
      <c r="J277" s="177">
        <v>3.1634615384615383</v>
      </c>
    </row>
    <row r="278" spans="1:10">
      <c r="A278" s="65">
        <v>6141</v>
      </c>
      <c r="B278" s="175">
        <v>-0.56000000000000005</v>
      </c>
      <c r="C278" s="184">
        <v>0.92903225806451617</v>
      </c>
      <c r="D278" s="177">
        <v>132142857.14285713</v>
      </c>
      <c r="E278" s="26"/>
      <c r="F278" s="184">
        <v>2.0083333333333303E-3</v>
      </c>
      <c r="G278" s="177">
        <v>1153607142.8571429</v>
      </c>
      <c r="H278" s="177">
        <v>2636996000</v>
      </c>
      <c r="I278" s="175">
        <v>0.4374701906476699</v>
      </c>
      <c r="J278" s="177">
        <v>0</v>
      </c>
    </row>
    <row r="279" spans="1:10">
      <c r="A279" s="65">
        <v>5434</v>
      </c>
      <c r="B279" s="175">
        <v>1.49</v>
      </c>
      <c r="C279" s="184">
        <v>0.81057268722466957</v>
      </c>
      <c r="D279" s="177">
        <v>158389261.74496645</v>
      </c>
      <c r="E279" s="26"/>
      <c r="F279" s="184">
        <v>8.0416666666666674E-3</v>
      </c>
      <c r="G279" s="177">
        <v>8252080536.9127522</v>
      </c>
      <c r="H279" s="177">
        <v>18786432000</v>
      </c>
      <c r="I279" s="175">
        <v>0.43925746713972896</v>
      </c>
      <c r="J279" s="177">
        <v>10.784487160782026</v>
      </c>
    </row>
    <row r="280" spans="1:10">
      <c r="A280" s="65">
        <v>2906</v>
      </c>
      <c r="B280" s="175">
        <v>0.59</v>
      </c>
      <c r="C280" s="184">
        <v>0.14814814814814814</v>
      </c>
      <c r="D280" s="177">
        <v>210169491.52542374</v>
      </c>
      <c r="E280" s="26"/>
      <c r="F280" s="184">
        <v>7.4416666666666633E-3</v>
      </c>
      <c r="G280" s="177">
        <v>2606101694.9152546</v>
      </c>
      <c r="H280" s="177">
        <v>5917287000</v>
      </c>
      <c r="I280" s="175">
        <v>0.44042171605251773</v>
      </c>
      <c r="J280" s="177">
        <v>35.46610169491526</v>
      </c>
    </row>
    <row r="281" spans="1:10">
      <c r="A281" s="65">
        <v>8933</v>
      </c>
      <c r="B281" s="175">
        <v>0.22</v>
      </c>
      <c r="C281" s="184">
        <v>1</v>
      </c>
      <c r="D281" s="177">
        <v>150000000</v>
      </c>
      <c r="E281" s="26"/>
      <c r="F281" s="184">
        <v>9.2091666666666683E-2</v>
      </c>
      <c r="G281" s="177">
        <v>2632500000</v>
      </c>
      <c r="H281" s="177">
        <v>5968164000</v>
      </c>
      <c r="I281" s="175">
        <v>0.44109042579929103</v>
      </c>
      <c r="J281" s="177">
        <v>19.94318181818182</v>
      </c>
    </row>
    <row r="282" spans="1:10">
      <c r="A282" s="65">
        <v>3537</v>
      </c>
      <c r="B282" s="175">
        <v>0.2</v>
      </c>
      <c r="C282" s="184">
        <v>1</v>
      </c>
      <c r="D282" s="177">
        <v>50000000</v>
      </c>
      <c r="E282" s="26"/>
      <c r="F282" s="184">
        <v>1.0508333333333333E-2</v>
      </c>
      <c r="G282" s="177">
        <v>869999999.99999988</v>
      </c>
      <c r="H282" s="177">
        <v>1971380000</v>
      </c>
      <c r="I282" s="175">
        <v>0.44131522080978802</v>
      </c>
      <c r="J282" s="177">
        <v>21.749999999999996</v>
      </c>
    </row>
    <row r="283" spans="1:10">
      <c r="A283" s="65">
        <v>8358</v>
      </c>
      <c r="B283" s="175">
        <v>-0.26</v>
      </c>
      <c r="C283" s="184">
        <v>0.64800000000000002</v>
      </c>
      <c r="D283" s="177">
        <v>211538461.53846154</v>
      </c>
      <c r="E283" s="26"/>
      <c r="F283" s="184">
        <v>3.2933333333333328E-2</v>
      </c>
      <c r="G283" s="177">
        <v>1802307692.3076923</v>
      </c>
      <c r="H283" s="177">
        <v>4081445000</v>
      </c>
      <c r="I283" s="175">
        <v>0.44158568651732222</v>
      </c>
      <c r="J283" s="177">
        <v>0</v>
      </c>
    </row>
    <row r="284" spans="1:10">
      <c r="A284" s="65">
        <v>8088</v>
      </c>
      <c r="B284" s="175">
        <v>0.11</v>
      </c>
      <c r="C284" s="184">
        <v>1</v>
      </c>
      <c r="D284" s="177">
        <v>54545454.545454547</v>
      </c>
      <c r="E284" s="26"/>
      <c r="F284" s="184">
        <v>-1.7541666666666664E-2</v>
      </c>
      <c r="G284" s="177">
        <v>968181818.18181825</v>
      </c>
      <c r="H284" s="177">
        <v>2190614000</v>
      </c>
      <c r="I284" s="175">
        <v>0.44196824186361372</v>
      </c>
      <c r="J284" s="177">
        <v>40.340909090909093</v>
      </c>
    </row>
    <row r="285" spans="1:10">
      <c r="A285" s="65">
        <v>6702</v>
      </c>
      <c r="B285" s="175">
        <v>-0.35</v>
      </c>
      <c r="C285" s="184">
        <v>1</v>
      </c>
      <c r="D285" s="177">
        <v>622857142.85714293</v>
      </c>
      <c r="E285" s="26"/>
      <c r="F285" s="184">
        <v>-4.2916666666666728E-3</v>
      </c>
      <c r="G285" s="177">
        <v>4833371428.5714293</v>
      </c>
      <c r="H285" s="177">
        <v>10924038000</v>
      </c>
      <c r="I285" s="175">
        <v>0.44245282088651006</v>
      </c>
      <c r="J285" s="177">
        <v>0</v>
      </c>
    </row>
    <row r="286" spans="1:10">
      <c r="A286" s="65">
        <v>2504</v>
      </c>
      <c r="B286" s="175">
        <v>0.05</v>
      </c>
      <c r="C286" s="184">
        <v>0</v>
      </c>
      <c r="D286" s="177">
        <v>1360000000</v>
      </c>
      <c r="E286" s="26"/>
      <c r="F286" s="184">
        <v>-1.6700000000000003E-2</v>
      </c>
      <c r="G286" s="177">
        <v>13164800000</v>
      </c>
      <c r="H286" s="177">
        <v>29713871000</v>
      </c>
      <c r="I286" s="175">
        <v>0.44305233740834371</v>
      </c>
      <c r="J286" s="177">
        <v>0</v>
      </c>
    </row>
    <row r="287" spans="1:10">
      <c r="A287" s="65">
        <v>3402</v>
      </c>
      <c r="B287" s="175">
        <v>0.45</v>
      </c>
      <c r="C287" s="184">
        <v>0.90909090909090906</v>
      </c>
      <c r="D287" s="177">
        <v>73333333.333333328</v>
      </c>
      <c r="E287" s="26"/>
      <c r="F287" s="184">
        <v>3.8033333333333329E-2</v>
      </c>
      <c r="G287" s="177">
        <v>1085333333.3333333</v>
      </c>
      <c r="H287" s="177">
        <v>2446312000</v>
      </c>
      <c r="I287" s="175">
        <v>0.4436610429631761</v>
      </c>
      <c r="J287" s="177">
        <v>9.0444444444444461</v>
      </c>
    </row>
    <row r="288" spans="1:10">
      <c r="A288" s="65">
        <v>8067</v>
      </c>
      <c r="B288" s="175">
        <v>-7.0000000000000007E-2</v>
      </c>
      <c r="C288" s="184">
        <v>1</v>
      </c>
      <c r="D288" s="177">
        <v>42857142.857142851</v>
      </c>
      <c r="E288" s="26"/>
      <c r="F288" s="184">
        <v>4.583333333333336E-3</v>
      </c>
      <c r="G288" s="177">
        <v>239999999.99999994</v>
      </c>
      <c r="H288" s="177">
        <v>540937000</v>
      </c>
      <c r="I288" s="175">
        <v>0.44367458687425698</v>
      </c>
      <c r="J288" s="177">
        <v>0</v>
      </c>
    </row>
    <row r="289" spans="1:10">
      <c r="A289" s="65">
        <v>2610</v>
      </c>
      <c r="B289" s="175">
        <v>0.2</v>
      </c>
      <c r="C289" s="184">
        <v>1</v>
      </c>
      <c r="D289" s="177">
        <v>5585000000</v>
      </c>
      <c r="E289" s="26"/>
      <c r="F289" s="184">
        <v>-3.3083333333333285E-3</v>
      </c>
      <c r="G289" s="177">
        <v>65623750000</v>
      </c>
      <c r="H289" s="177">
        <v>147818148000</v>
      </c>
      <c r="I289" s="175">
        <v>0.44394920980879832</v>
      </c>
      <c r="J289" s="177">
        <v>14.6875</v>
      </c>
    </row>
    <row r="290" spans="1:10">
      <c r="A290" s="65">
        <v>3663</v>
      </c>
      <c r="B290" s="175">
        <v>-0.26</v>
      </c>
      <c r="C290" s="184">
        <v>0.66666666666666663</v>
      </c>
      <c r="D290" s="177">
        <v>73076923.076923072</v>
      </c>
      <c r="E290" s="26"/>
      <c r="F290" s="184">
        <v>-9.6583333333333313E-3</v>
      </c>
      <c r="G290" s="177">
        <v>1198461538.4615383</v>
      </c>
      <c r="H290" s="177">
        <v>2694181000</v>
      </c>
      <c r="I290" s="175">
        <v>0.44483334210342151</v>
      </c>
      <c r="J290" s="177">
        <v>0</v>
      </c>
    </row>
    <row r="291" spans="1:10">
      <c r="A291" s="65">
        <v>2444</v>
      </c>
      <c r="B291" s="175">
        <v>-1.32</v>
      </c>
      <c r="C291" s="184">
        <v>0.88888888888888884</v>
      </c>
      <c r="D291" s="177">
        <v>85606060.606060609</v>
      </c>
      <c r="E291" s="26"/>
      <c r="F291" s="184">
        <v>-2.8333333333333395E-4</v>
      </c>
      <c r="G291" s="177">
        <v>734500000</v>
      </c>
      <c r="H291" s="177">
        <v>1650670000</v>
      </c>
      <c r="I291" s="175">
        <v>0.44497083002659527</v>
      </c>
      <c r="J291" s="177">
        <v>0</v>
      </c>
    </row>
    <row r="292" spans="1:10">
      <c r="A292" s="65">
        <v>2613</v>
      </c>
      <c r="B292" s="175">
        <v>0.24</v>
      </c>
      <c r="C292" s="184">
        <v>1</v>
      </c>
      <c r="D292" s="177">
        <v>79166666.666666672</v>
      </c>
      <c r="E292" s="26"/>
      <c r="F292" s="184">
        <v>-9.7833333333333314E-3</v>
      </c>
      <c r="G292" s="177">
        <v>1136041666.6666667</v>
      </c>
      <c r="H292" s="177">
        <v>2548823000</v>
      </c>
      <c r="I292" s="175">
        <v>0.44571226274506576</v>
      </c>
      <c r="J292" s="177">
        <v>14.947916666666666</v>
      </c>
    </row>
    <row r="293" spans="1:10">
      <c r="A293" s="65">
        <v>9935</v>
      </c>
      <c r="B293" s="175">
        <v>0.22</v>
      </c>
      <c r="C293" s="184">
        <v>0.58181818181818179</v>
      </c>
      <c r="D293" s="177">
        <v>140909090.90909091</v>
      </c>
      <c r="E293" s="26"/>
      <c r="F293" s="184">
        <v>3.8866666666666667E-2</v>
      </c>
      <c r="G293" s="177">
        <v>1430227272.7272727</v>
      </c>
      <c r="H293" s="177">
        <v>3208450000</v>
      </c>
      <c r="I293" s="175">
        <v>0.44576891418824438</v>
      </c>
      <c r="J293" s="177">
        <v>19.82421875</v>
      </c>
    </row>
    <row r="294" spans="1:10">
      <c r="A294" s="65">
        <v>1219</v>
      </c>
      <c r="B294" s="180">
        <v>-0.01</v>
      </c>
      <c r="C294" s="184">
        <v>0.35</v>
      </c>
      <c r="D294" s="181">
        <v>300000000</v>
      </c>
      <c r="E294" s="179"/>
      <c r="F294" s="184">
        <v>-7.2583333333333345E-3</v>
      </c>
      <c r="G294" s="181">
        <v>4410000000</v>
      </c>
      <c r="H294" s="181">
        <v>9866537000</v>
      </c>
      <c r="I294" s="180">
        <v>0.4469653334295508</v>
      </c>
      <c r="J294" s="181">
        <v>0</v>
      </c>
    </row>
    <row r="295" spans="1:10">
      <c r="A295" s="65">
        <v>8182</v>
      </c>
      <c r="B295" s="175">
        <v>7.0000000000000007E-2</v>
      </c>
      <c r="C295" s="184">
        <v>1</v>
      </c>
      <c r="D295" s="177">
        <v>99999999.999999985</v>
      </c>
      <c r="E295" s="26"/>
      <c r="F295" s="184">
        <v>7.0083333333333326E-3</v>
      </c>
      <c r="G295" s="177">
        <v>1239999999.9999998</v>
      </c>
      <c r="H295" s="177">
        <v>2773922000</v>
      </c>
      <c r="I295" s="175">
        <v>0.44702050021593964</v>
      </c>
      <c r="J295" s="177">
        <v>44.285714285714285</v>
      </c>
    </row>
    <row r="296" spans="1:10">
      <c r="A296" s="65">
        <v>2440</v>
      </c>
      <c r="B296" s="175">
        <v>0.13</v>
      </c>
      <c r="C296" s="184">
        <v>1</v>
      </c>
      <c r="D296" s="177">
        <v>138461538.46153846</v>
      </c>
      <c r="E296" s="26"/>
      <c r="F296" s="184">
        <v>3.6583333333333336E-2</v>
      </c>
      <c r="G296" s="177">
        <v>1114615384.6153848</v>
      </c>
      <c r="H296" s="177">
        <v>2492034000</v>
      </c>
      <c r="I296" s="175">
        <v>0.44727133924151308</v>
      </c>
      <c r="J296" s="177">
        <v>15.480769230769232</v>
      </c>
    </row>
    <row r="297" spans="1:10">
      <c r="A297" s="65">
        <v>2012</v>
      </c>
      <c r="B297" s="175">
        <v>0.06</v>
      </c>
      <c r="C297" s="184">
        <v>1</v>
      </c>
      <c r="D297" s="177">
        <v>283333333.33333337</v>
      </c>
      <c r="E297" s="26"/>
      <c r="F297" s="184">
        <v>3.4999999999999966E-3</v>
      </c>
      <c r="G297" s="177">
        <v>3966666666.666667</v>
      </c>
      <c r="H297" s="177">
        <v>8771007000</v>
      </c>
      <c r="I297" s="175">
        <v>0.45224757734963239</v>
      </c>
      <c r="J297" s="177">
        <v>50</v>
      </c>
    </row>
    <row r="298" spans="1:10">
      <c r="A298" s="65">
        <v>3609</v>
      </c>
      <c r="B298" s="175">
        <v>-0.25</v>
      </c>
      <c r="C298" s="184">
        <v>1</v>
      </c>
      <c r="D298" s="177">
        <v>28000000</v>
      </c>
      <c r="E298" s="26"/>
      <c r="F298" s="184">
        <v>-7.8499999999999959E-3</v>
      </c>
      <c r="G298" s="177">
        <v>365400000</v>
      </c>
      <c r="H298" s="177">
        <v>807897000</v>
      </c>
      <c r="I298" s="175">
        <v>0.45228537796278484</v>
      </c>
      <c r="J298" s="177">
        <v>0</v>
      </c>
    </row>
    <row r="299" spans="1:10">
      <c r="A299" s="65">
        <v>3703</v>
      </c>
      <c r="B299" s="175">
        <v>-0.04</v>
      </c>
      <c r="C299" s="184">
        <v>1</v>
      </c>
      <c r="D299" s="177">
        <v>925000000</v>
      </c>
      <c r="E299" s="26"/>
      <c r="F299" s="184">
        <v>9.6999999999999975E-2</v>
      </c>
      <c r="G299" s="177">
        <v>9897500000</v>
      </c>
      <c r="H299" s="177">
        <v>21866563000</v>
      </c>
      <c r="I299" s="175">
        <v>0.45263171903147287</v>
      </c>
      <c r="J299" s="177">
        <v>0</v>
      </c>
    </row>
    <row r="300" spans="1:10">
      <c r="A300" s="65">
        <v>2465</v>
      </c>
      <c r="B300" s="175">
        <v>-0.39</v>
      </c>
      <c r="C300" s="184">
        <v>0</v>
      </c>
      <c r="D300" s="177">
        <v>105128205.12820512</v>
      </c>
      <c r="E300" s="26"/>
      <c r="F300" s="184">
        <v>7.4041666666666672E-2</v>
      </c>
      <c r="G300" s="177">
        <v>1027102564.102564</v>
      </c>
      <c r="H300" s="177">
        <v>2266083000</v>
      </c>
      <c r="I300" s="175">
        <v>0.45325019608838862</v>
      </c>
      <c r="J300" s="177">
        <v>0</v>
      </c>
    </row>
    <row r="301" spans="1:10">
      <c r="A301" s="65">
        <v>4141</v>
      </c>
      <c r="B301" s="175">
        <v>0.88</v>
      </c>
      <c r="C301" s="184">
        <v>0</v>
      </c>
      <c r="D301" s="177">
        <v>152272727.27272728</v>
      </c>
      <c r="E301" s="26"/>
      <c r="F301" s="184">
        <v>0.13038333333333332</v>
      </c>
      <c r="G301" s="177">
        <v>4994545454.545454</v>
      </c>
      <c r="H301" s="177">
        <v>10996841000</v>
      </c>
      <c r="I301" s="175">
        <v>0.45418001902050364</v>
      </c>
      <c r="J301" s="177">
        <v>0</v>
      </c>
    </row>
    <row r="302" spans="1:10">
      <c r="A302" s="65">
        <v>2421</v>
      </c>
      <c r="B302" s="175">
        <v>0.28999999999999998</v>
      </c>
      <c r="C302" s="184">
        <v>0.59405940594059403</v>
      </c>
      <c r="D302" s="177">
        <v>251724137.93103451</v>
      </c>
      <c r="E302" s="26"/>
      <c r="F302" s="184">
        <v>2.5083333333333343E-2</v>
      </c>
      <c r="G302" s="177">
        <v>4531034482.7586212</v>
      </c>
      <c r="H302" s="177">
        <v>9952654000</v>
      </c>
      <c r="I302" s="175">
        <v>0.45525891714497674</v>
      </c>
      <c r="J302" s="177">
        <v>26.120689655172416</v>
      </c>
    </row>
    <row r="303" spans="1:10">
      <c r="A303" s="65">
        <v>2399</v>
      </c>
      <c r="B303" s="175">
        <v>-0.28000000000000003</v>
      </c>
      <c r="C303" s="184">
        <v>0.83606557377049184</v>
      </c>
      <c r="D303" s="177">
        <v>178571428.57142857</v>
      </c>
      <c r="E303" s="26"/>
      <c r="F303" s="184">
        <v>0.95591666666666664</v>
      </c>
      <c r="G303" s="177">
        <v>1341071428.5714285</v>
      </c>
      <c r="H303" s="177">
        <v>2938946000</v>
      </c>
      <c r="I303" s="175">
        <v>0.45631033321858533</v>
      </c>
      <c r="J303" s="177">
        <v>0</v>
      </c>
    </row>
    <row r="304" spans="1:10">
      <c r="A304" s="65">
        <v>2357</v>
      </c>
      <c r="B304" s="175">
        <v>6.27</v>
      </c>
      <c r="C304" s="184">
        <v>0.86711441592708083</v>
      </c>
      <c r="D304" s="177">
        <v>742902711.32376397</v>
      </c>
      <c r="E304" s="26"/>
      <c r="F304" s="184">
        <v>1.6333333333333321E-2</v>
      </c>
      <c r="G304" s="177">
        <v>218041945773.52472</v>
      </c>
      <c r="H304" s="177">
        <v>477370965000</v>
      </c>
      <c r="I304" s="175">
        <v>0.45675577645055293</v>
      </c>
      <c r="J304" s="177">
        <v>13.495971949236857</v>
      </c>
    </row>
    <row r="305" spans="1:10">
      <c r="A305" s="65">
        <v>8421</v>
      </c>
      <c r="B305" s="175">
        <v>0.11</v>
      </c>
      <c r="C305" s="184">
        <v>1</v>
      </c>
      <c r="D305" s="177">
        <v>36363636.363636367</v>
      </c>
      <c r="E305" s="26"/>
      <c r="F305" s="184">
        <v>1.8849999999999995E-2</v>
      </c>
      <c r="G305" s="177">
        <v>474545454.54545462</v>
      </c>
      <c r="H305" s="177">
        <v>1036667000</v>
      </c>
      <c r="I305" s="175">
        <v>0.45776074143910689</v>
      </c>
      <c r="J305" s="177">
        <v>29.65909090909091</v>
      </c>
    </row>
    <row r="306" spans="1:10">
      <c r="A306" s="65">
        <v>1514</v>
      </c>
      <c r="B306" s="175">
        <v>0.11</v>
      </c>
      <c r="C306" s="184">
        <v>0.68181818181818177</v>
      </c>
      <c r="D306" s="177">
        <v>209090909.09090909</v>
      </c>
      <c r="E306" s="26"/>
      <c r="F306" s="184">
        <v>8.876666666666666E-2</v>
      </c>
      <c r="G306" s="177">
        <v>1754272727.2727275</v>
      </c>
      <c r="H306" s="177">
        <v>3799198000</v>
      </c>
      <c r="I306" s="175">
        <v>0.46174817086993819</v>
      </c>
      <c r="J306" s="177">
        <v>27.966666666666669</v>
      </c>
    </row>
    <row r="307" spans="1:10">
      <c r="A307" s="65">
        <v>2208</v>
      </c>
      <c r="B307" s="175">
        <v>0.09</v>
      </c>
      <c r="C307" s="184">
        <v>0.55384615384615388</v>
      </c>
      <c r="D307" s="177">
        <v>733333333.33333337</v>
      </c>
      <c r="E307" s="26"/>
      <c r="F307" s="184">
        <v>-1.8483333333333331E-2</v>
      </c>
      <c r="G307" s="177">
        <v>10413333333.333334</v>
      </c>
      <c r="H307" s="177">
        <v>22502995000</v>
      </c>
      <c r="I307" s="175">
        <v>0.46275321721990048</v>
      </c>
      <c r="J307" s="177">
        <v>50</v>
      </c>
    </row>
    <row r="308" spans="1:10">
      <c r="A308" s="65">
        <v>3652</v>
      </c>
      <c r="B308" s="175">
        <v>0.02</v>
      </c>
      <c r="C308" s="184">
        <v>0.625</v>
      </c>
      <c r="D308" s="177">
        <v>50000000</v>
      </c>
      <c r="E308" s="26"/>
      <c r="F308" s="184">
        <v>4.3483333333333325E-2</v>
      </c>
      <c r="G308" s="177">
        <v>922500000</v>
      </c>
      <c r="H308" s="177">
        <v>1992187000</v>
      </c>
      <c r="I308" s="175">
        <v>0.46305893974812606</v>
      </c>
      <c r="J308" s="177">
        <v>50</v>
      </c>
    </row>
    <row r="309" spans="1:10">
      <c r="A309" s="65">
        <v>2731</v>
      </c>
      <c r="B309" s="175">
        <v>2.5</v>
      </c>
      <c r="C309" s="184">
        <v>0.85806451612903223</v>
      </c>
      <c r="D309" s="177">
        <v>70000000</v>
      </c>
      <c r="E309" s="26"/>
      <c r="F309" s="184">
        <v>2.9666666666666675E-2</v>
      </c>
      <c r="G309" s="177">
        <v>9625000000</v>
      </c>
      <c r="H309" s="177">
        <v>20752208000</v>
      </c>
      <c r="I309" s="175">
        <v>0.46380606825066517</v>
      </c>
      <c r="J309" s="177">
        <v>16.024436090225564</v>
      </c>
    </row>
    <row r="310" spans="1:10">
      <c r="A310" s="65">
        <v>1522</v>
      </c>
      <c r="B310" s="175">
        <v>0.36</v>
      </c>
      <c r="C310" s="184">
        <v>1</v>
      </c>
      <c r="D310" s="177">
        <v>313888888.8888889</v>
      </c>
      <c r="E310" s="26"/>
      <c r="F310" s="184">
        <v>-7.8333333333333362E-3</v>
      </c>
      <c r="G310" s="177">
        <v>7533333333.333334</v>
      </c>
      <c r="H310" s="177">
        <v>16236026000</v>
      </c>
      <c r="I310" s="175">
        <v>0.4639887453575976</v>
      </c>
      <c r="J310" s="177">
        <v>16.666666666666668</v>
      </c>
    </row>
    <row r="311" spans="1:10">
      <c r="A311" s="65">
        <v>6603</v>
      </c>
      <c r="B311" s="175">
        <v>0.05</v>
      </c>
      <c r="C311" s="184">
        <v>0.30769230769230771</v>
      </c>
      <c r="D311" s="177">
        <v>120000000</v>
      </c>
      <c r="E311" s="26"/>
      <c r="F311" s="184">
        <v>2.0083333333333328E-2</v>
      </c>
      <c r="G311" s="177">
        <v>1380000000</v>
      </c>
      <c r="H311" s="177">
        <v>2971741000</v>
      </c>
      <c r="I311" s="175">
        <v>0.46437425064970334</v>
      </c>
      <c r="J311" s="177">
        <v>50</v>
      </c>
    </row>
    <row r="312" spans="1:10">
      <c r="A312" s="65">
        <v>2406</v>
      </c>
      <c r="B312" s="175">
        <v>-0.62</v>
      </c>
      <c r="C312" s="184">
        <v>0</v>
      </c>
      <c r="D312" s="177">
        <v>308064516.12903225</v>
      </c>
      <c r="E312" s="26"/>
      <c r="F312" s="184">
        <v>4.713333333333334E-2</v>
      </c>
      <c r="G312" s="177">
        <v>8040483870.967742</v>
      </c>
      <c r="H312" s="177">
        <v>17276548000</v>
      </c>
      <c r="I312" s="175">
        <v>0.46539875158901778</v>
      </c>
      <c r="J312" s="177">
        <v>0</v>
      </c>
    </row>
    <row r="313" spans="1:10" ht="16.5" customHeight="1">
      <c r="A313" s="65">
        <v>5410</v>
      </c>
      <c r="B313" s="175">
        <v>0.19</v>
      </c>
      <c r="C313" s="184">
        <v>0.78048780487804881</v>
      </c>
      <c r="D313" s="177">
        <v>89473684.210526317</v>
      </c>
      <c r="E313" s="26"/>
      <c r="F313" s="184">
        <v>8.3916666666666681E-2</v>
      </c>
      <c r="G313" s="177">
        <v>1082631578.9473684</v>
      </c>
      <c r="H313" s="177">
        <v>2315060000</v>
      </c>
      <c r="I313" s="175">
        <v>0.46764730890230422</v>
      </c>
      <c r="J313" s="177">
        <v>20.398848684210524</v>
      </c>
    </row>
    <row r="314" spans="1:10">
      <c r="A314" s="65">
        <v>1528</v>
      </c>
      <c r="B314" s="175">
        <v>0.05</v>
      </c>
      <c r="C314" s="184">
        <v>1</v>
      </c>
      <c r="D314" s="177">
        <v>160000000</v>
      </c>
      <c r="E314" s="26"/>
      <c r="F314" s="184">
        <v>5.9416666666666673E-2</v>
      </c>
      <c r="G314" s="177">
        <v>1520000000</v>
      </c>
      <c r="H314" s="177">
        <v>3234041000</v>
      </c>
      <c r="I314" s="175">
        <v>0.47000022572379263</v>
      </c>
      <c r="J314" s="177">
        <v>47.5</v>
      </c>
    </row>
    <row r="315" spans="1:10">
      <c r="A315" s="65">
        <v>5016</v>
      </c>
      <c r="B315" s="175">
        <v>0.21</v>
      </c>
      <c r="C315" s="184">
        <v>1</v>
      </c>
      <c r="D315" s="177">
        <v>47619047.619047619</v>
      </c>
      <c r="E315" s="26"/>
      <c r="F315" s="184">
        <v>-5.5999999999999965E-3</v>
      </c>
      <c r="G315" s="177">
        <v>1119047619.0476191</v>
      </c>
      <c r="H315" s="177">
        <v>2366937000</v>
      </c>
      <c r="I315" s="175">
        <v>0.47278301832605563</v>
      </c>
      <c r="J315" s="177">
        <v>27.976190476190478</v>
      </c>
    </row>
    <row r="316" spans="1:10">
      <c r="A316" s="65">
        <v>3090</v>
      </c>
      <c r="B316" s="175">
        <v>0.28000000000000003</v>
      </c>
      <c r="C316" s="184">
        <v>1</v>
      </c>
      <c r="D316" s="177">
        <v>167857142.85714284</v>
      </c>
      <c r="E316" s="26"/>
      <c r="F316" s="184">
        <v>3.5833333333333342E-3</v>
      </c>
      <c r="G316" s="177">
        <v>3927857142.857142</v>
      </c>
      <c r="H316" s="177">
        <v>8307490000</v>
      </c>
      <c r="I316" s="175">
        <v>0.47280913282557574</v>
      </c>
      <c r="J316" s="177">
        <v>20.892857142857139</v>
      </c>
    </row>
    <row r="317" spans="1:10">
      <c r="A317" s="65">
        <v>2597</v>
      </c>
      <c r="B317" s="175">
        <v>0.71</v>
      </c>
      <c r="C317" s="184">
        <v>1</v>
      </c>
      <c r="D317" s="177">
        <v>135211267.6056338</v>
      </c>
      <c r="E317" s="26"/>
      <c r="F317" s="184">
        <v>-1.4391666666666665E-2</v>
      </c>
      <c r="G317" s="177">
        <v>5178591549.2957735</v>
      </c>
      <c r="H317" s="177">
        <v>10930953000</v>
      </c>
      <c r="I317" s="175">
        <v>0.47375480887126431</v>
      </c>
      <c r="J317" s="177">
        <v>13.485915492957746</v>
      </c>
    </row>
    <row r="318" spans="1:10">
      <c r="A318" s="65">
        <v>3236</v>
      </c>
      <c r="B318" s="175">
        <v>0.13</v>
      </c>
      <c r="C318" s="184">
        <v>1</v>
      </c>
      <c r="D318" s="177">
        <v>61538461.538461536</v>
      </c>
      <c r="E318" s="26"/>
      <c r="F318" s="184">
        <v>1.9600000000000003E-2</v>
      </c>
      <c r="G318" s="177">
        <v>873846153.84615374</v>
      </c>
      <c r="H318" s="177">
        <v>1830783000</v>
      </c>
      <c r="I318" s="175">
        <v>0.47730733453727381</v>
      </c>
      <c r="J318" s="177">
        <v>27.307692307692307</v>
      </c>
    </row>
    <row r="319" spans="1:10">
      <c r="A319" s="65">
        <v>4903</v>
      </c>
      <c r="B319" s="175">
        <v>-0.14000000000000001</v>
      </c>
      <c r="C319" s="184">
        <v>1</v>
      </c>
      <c r="D319" s="177">
        <v>92857142.857142851</v>
      </c>
      <c r="E319" s="26"/>
      <c r="F319" s="184">
        <v>0.11354166666666667</v>
      </c>
      <c r="G319" s="177">
        <v>928571428.57142854</v>
      </c>
      <c r="H319" s="177">
        <v>1942291000</v>
      </c>
      <c r="I319" s="175">
        <v>0.47808048771859035</v>
      </c>
      <c r="J319" s="177">
        <v>0</v>
      </c>
    </row>
    <row r="320" spans="1:10">
      <c r="A320" s="65">
        <v>2367</v>
      </c>
      <c r="B320" s="175">
        <v>-0.08</v>
      </c>
      <c r="C320" s="184">
        <v>1</v>
      </c>
      <c r="D320" s="177">
        <v>562500000</v>
      </c>
      <c r="E320" s="26"/>
      <c r="F320" s="184">
        <v>-1.5416666666666641E-3</v>
      </c>
      <c r="G320" s="177">
        <v>6665625000</v>
      </c>
      <c r="H320" s="177">
        <v>13936730000</v>
      </c>
      <c r="I320" s="175">
        <v>0.47827754430199909</v>
      </c>
      <c r="J320" s="177">
        <v>0</v>
      </c>
    </row>
    <row r="321" spans="1:10">
      <c r="A321" s="65">
        <v>1259</v>
      </c>
      <c r="B321" s="180">
        <v>1.07</v>
      </c>
      <c r="C321" s="184">
        <v>1</v>
      </c>
      <c r="D321" s="181">
        <v>32710280.373831775</v>
      </c>
      <c r="E321" s="179"/>
      <c r="F321" s="184">
        <v>2.5249999999999973E-3</v>
      </c>
      <c r="G321" s="181">
        <v>2067289719.6261683</v>
      </c>
      <c r="H321" s="181">
        <v>4321352000</v>
      </c>
      <c r="I321" s="180">
        <v>0.47838956873362048</v>
      </c>
      <c r="J321" s="181">
        <v>14.766355140186915</v>
      </c>
    </row>
    <row r="322" spans="1:10">
      <c r="A322" s="65">
        <v>2064</v>
      </c>
      <c r="B322" s="175">
        <v>0.32</v>
      </c>
      <c r="C322" s="184">
        <v>1</v>
      </c>
      <c r="D322" s="177">
        <v>68750000</v>
      </c>
      <c r="E322" s="26"/>
      <c r="F322" s="184">
        <v>2.0416666666666708E-3</v>
      </c>
      <c r="G322" s="177">
        <v>1155000000</v>
      </c>
      <c r="H322" s="177">
        <v>2410351000</v>
      </c>
      <c r="I322" s="175">
        <v>0.47918332226302313</v>
      </c>
      <c r="J322" s="177">
        <v>13.125</v>
      </c>
    </row>
    <row r="323" spans="1:10">
      <c r="A323" s="65">
        <v>2601</v>
      </c>
      <c r="B323" s="175">
        <v>0.15</v>
      </c>
      <c r="C323" s="184">
        <v>1</v>
      </c>
      <c r="D323" s="177">
        <v>366666666.66666669</v>
      </c>
      <c r="E323" s="26"/>
      <c r="F323" s="184">
        <v>1.0808333333333331E-2</v>
      </c>
      <c r="G323" s="177">
        <v>4271666666.666667</v>
      </c>
      <c r="H323" s="177">
        <v>8902629000</v>
      </c>
      <c r="I323" s="175">
        <v>0.47982081098366192</v>
      </c>
      <c r="J323" s="177">
        <v>19.416666666666668</v>
      </c>
    </row>
    <row r="324" spans="1:10">
      <c r="A324" s="65">
        <v>1715</v>
      </c>
      <c r="B324" s="175">
        <v>0.08</v>
      </c>
      <c r="C324" s="184">
        <v>1</v>
      </c>
      <c r="D324" s="177">
        <v>400000000</v>
      </c>
      <c r="E324" s="26"/>
      <c r="F324" s="184">
        <v>3.2916666666666671E-3</v>
      </c>
      <c r="G324" s="177">
        <v>5240000000</v>
      </c>
      <c r="H324" s="177">
        <v>10914071000</v>
      </c>
      <c r="I324" s="175">
        <v>0.48011415721961126</v>
      </c>
      <c r="J324" s="177">
        <v>40.9375</v>
      </c>
    </row>
    <row r="325" spans="1:10">
      <c r="A325" s="65">
        <v>1201</v>
      </c>
      <c r="B325" s="180">
        <v>-0.61</v>
      </c>
      <c r="C325" s="184">
        <v>0.86356073211314477</v>
      </c>
      <c r="D325" s="181">
        <v>504918032.78688526</v>
      </c>
      <c r="E325" s="32"/>
      <c r="F325" s="184">
        <v>-1.4758333333333339E-2</v>
      </c>
      <c r="G325" s="181">
        <v>10073114754.09836</v>
      </c>
      <c r="H325" s="181">
        <v>20951269000</v>
      </c>
      <c r="I325" s="180">
        <v>0.48078781070962145</v>
      </c>
      <c r="J325" s="181">
        <v>0</v>
      </c>
    </row>
    <row r="326" spans="1:10">
      <c r="A326" s="65">
        <v>6188</v>
      </c>
      <c r="B326" s="175">
        <v>0.41</v>
      </c>
      <c r="C326" s="184">
        <v>7.8048780487804878E-2</v>
      </c>
      <c r="D326" s="177">
        <v>278048780.48780489</v>
      </c>
      <c r="E326" s="26"/>
      <c r="F326" s="184">
        <v>-1.6600000000000004E-2</v>
      </c>
      <c r="G326" s="177">
        <v>5644390243.9024391</v>
      </c>
      <c r="H326" s="177">
        <v>11716641000</v>
      </c>
      <c r="I326" s="175">
        <v>0.48174133217040954</v>
      </c>
      <c r="J326" s="177">
        <v>50</v>
      </c>
    </row>
    <row r="327" spans="1:10">
      <c r="A327" s="65">
        <v>8927</v>
      </c>
      <c r="B327" s="175">
        <v>0</v>
      </c>
      <c r="C327" s="184">
        <v>0</v>
      </c>
      <c r="D327" s="177">
        <v>161800000</v>
      </c>
      <c r="E327" s="26"/>
      <c r="F327" s="184">
        <v>-2.3499999999999975E-3</v>
      </c>
      <c r="G327" s="177">
        <v>1618000000</v>
      </c>
      <c r="H327" s="177">
        <v>3337736000</v>
      </c>
      <c r="I327" s="175">
        <v>0.4847597293494752</v>
      </c>
      <c r="J327" s="177">
        <v>0</v>
      </c>
    </row>
    <row r="328" spans="1:10">
      <c r="A328" s="65">
        <v>6290</v>
      </c>
      <c r="B328" s="175">
        <v>-0.13</v>
      </c>
      <c r="C328" s="184">
        <v>0</v>
      </c>
      <c r="D328" s="177">
        <v>138461538.46153846</v>
      </c>
      <c r="E328" s="26"/>
      <c r="F328" s="184">
        <v>2.4649999999999995E-2</v>
      </c>
      <c r="G328" s="177">
        <v>3503076923.0769234</v>
      </c>
      <c r="H328" s="177">
        <v>7203405000</v>
      </c>
      <c r="I328" s="175">
        <v>0.48630847815400124</v>
      </c>
      <c r="J328" s="177">
        <v>0</v>
      </c>
    </row>
    <row r="329" spans="1:10">
      <c r="A329" s="65">
        <v>1225</v>
      </c>
      <c r="B329" s="180">
        <v>0.05</v>
      </c>
      <c r="C329" s="184">
        <v>1</v>
      </c>
      <c r="D329" s="181">
        <v>220000000</v>
      </c>
      <c r="E329" s="179"/>
      <c r="F329" s="184">
        <v>-5.8333333333338476E-5</v>
      </c>
      <c r="G329" s="181">
        <v>5467000000</v>
      </c>
      <c r="H329" s="181">
        <v>11184829000</v>
      </c>
      <c r="I329" s="180">
        <v>0.48878708829611967</v>
      </c>
      <c r="J329" s="181">
        <v>50</v>
      </c>
    </row>
    <row r="330" spans="1:10">
      <c r="A330" s="65">
        <v>3707</v>
      </c>
      <c r="B330" s="175">
        <v>-0.52</v>
      </c>
      <c r="C330" s="184">
        <v>0.9550561797752809</v>
      </c>
      <c r="D330" s="177">
        <v>161538461.53846154</v>
      </c>
      <c r="E330" s="26"/>
      <c r="F330" s="184">
        <v>1.0733333333333331E-2</v>
      </c>
      <c r="G330" s="177">
        <v>1550769230.7692306</v>
      </c>
      <c r="H330" s="177">
        <v>3154893000</v>
      </c>
      <c r="I330" s="175">
        <v>0.49154416037857085</v>
      </c>
      <c r="J330" s="177">
        <v>0</v>
      </c>
    </row>
    <row r="331" spans="1:10">
      <c r="A331" s="65">
        <v>6412</v>
      </c>
      <c r="B331" s="175">
        <v>0.79</v>
      </c>
      <c r="C331" s="184">
        <v>0.82448036951501158</v>
      </c>
      <c r="D331" s="177">
        <v>362025316.45569617</v>
      </c>
      <c r="E331" s="26"/>
      <c r="F331" s="184">
        <v>6.7333333333333386E-3</v>
      </c>
      <c r="G331" s="177">
        <v>13014810126.582277</v>
      </c>
      <c r="H331" s="177">
        <v>26469887000</v>
      </c>
      <c r="I331" s="175">
        <v>0.49168363002767174</v>
      </c>
      <c r="J331" s="177">
        <v>13.798487749530192</v>
      </c>
    </row>
    <row r="332" spans="1:10">
      <c r="A332" s="65">
        <v>8418</v>
      </c>
      <c r="B332" s="175">
        <v>0.15</v>
      </c>
      <c r="C332" s="184">
        <v>1</v>
      </c>
      <c r="D332" s="177">
        <v>66666666.666666672</v>
      </c>
      <c r="E332" s="26"/>
      <c r="F332" s="184">
        <v>1.7475000000000001E-2</v>
      </c>
      <c r="G332" s="177">
        <v>1146666666.6666667</v>
      </c>
      <c r="H332" s="177">
        <v>2330332000</v>
      </c>
      <c r="I332" s="175">
        <v>0.49206150311057256</v>
      </c>
      <c r="J332" s="177">
        <v>28.666666666666668</v>
      </c>
    </row>
    <row r="333" spans="1:10">
      <c r="A333" s="65">
        <v>6229</v>
      </c>
      <c r="B333" s="175">
        <v>0</v>
      </c>
      <c r="C333" s="184">
        <v>0</v>
      </c>
      <c r="D333" s="177">
        <v>36100000</v>
      </c>
      <c r="E333" s="26"/>
      <c r="F333" s="184">
        <v>9.8066666666666677E-2</v>
      </c>
      <c r="G333" s="177">
        <v>451250000</v>
      </c>
      <c r="H333" s="177">
        <v>916465000</v>
      </c>
      <c r="I333" s="175">
        <v>0.49238105110397012</v>
      </c>
      <c r="J333" s="177">
        <v>0</v>
      </c>
    </row>
    <row r="334" spans="1:10">
      <c r="A334" s="65">
        <v>2498</v>
      </c>
      <c r="B334" s="175">
        <v>-9.6999999999999993</v>
      </c>
      <c r="C334" s="184">
        <v>0.70250195465207188</v>
      </c>
      <c r="D334" s="177">
        <v>828247422.68041241</v>
      </c>
      <c r="E334" s="26"/>
      <c r="F334" s="184">
        <v>4.4499999999999861E-3</v>
      </c>
      <c r="G334" s="177">
        <v>67667814432.989693</v>
      </c>
      <c r="H334" s="177">
        <v>136997529000</v>
      </c>
      <c r="I334" s="175">
        <v>0.49393456164446364</v>
      </c>
      <c r="J334" s="177">
        <v>0</v>
      </c>
    </row>
    <row r="335" spans="1:10">
      <c r="A335" s="65">
        <v>6122</v>
      </c>
      <c r="B335" s="175">
        <v>-0.13</v>
      </c>
      <c r="C335" s="184">
        <v>0.625</v>
      </c>
      <c r="D335" s="177">
        <v>69230769.230769232</v>
      </c>
      <c r="E335" s="26"/>
      <c r="F335" s="184">
        <v>5.4033333333333322E-2</v>
      </c>
      <c r="G335" s="177">
        <v>480461538.46153849</v>
      </c>
      <c r="H335" s="177">
        <v>972396000</v>
      </c>
      <c r="I335" s="175">
        <v>0.49410069401924578</v>
      </c>
      <c r="J335" s="177">
        <v>0</v>
      </c>
    </row>
    <row r="336" spans="1:10">
      <c r="A336" s="65">
        <v>3322</v>
      </c>
      <c r="B336" s="175">
        <v>-0.44</v>
      </c>
      <c r="C336" s="184">
        <v>0.83076923076923082</v>
      </c>
      <c r="D336" s="177">
        <v>84090909.090909094</v>
      </c>
      <c r="E336" s="26"/>
      <c r="F336" s="184">
        <v>-1.6916666666666653E-3</v>
      </c>
      <c r="G336" s="177">
        <v>1038522727.2727273</v>
      </c>
      <c r="H336" s="177">
        <v>2100468000</v>
      </c>
      <c r="I336" s="175">
        <v>0.49442444601523433</v>
      </c>
      <c r="J336" s="177">
        <v>0</v>
      </c>
    </row>
    <row r="337" spans="1:10">
      <c r="A337" s="65">
        <v>3019</v>
      </c>
      <c r="B337" s="175">
        <v>0.21</v>
      </c>
      <c r="C337" s="184">
        <v>0</v>
      </c>
      <c r="D337" s="177">
        <v>280952380.95238096</v>
      </c>
      <c r="E337" s="26"/>
      <c r="F337" s="184">
        <v>2.2358333333333341E-2</v>
      </c>
      <c r="G337" s="177">
        <v>9018571428.5714283</v>
      </c>
      <c r="H337" s="177">
        <v>18239113000</v>
      </c>
      <c r="I337" s="175">
        <v>0.49446326850277361</v>
      </c>
      <c r="J337" s="177">
        <v>0</v>
      </c>
    </row>
    <row r="338" spans="1:10">
      <c r="A338" s="65">
        <v>2024</v>
      </c>
      <c r="B338" s="175">
        <v>0.08</v>
      </c>
      <c r="C338" s="184">
        <v>1</v>
      </c>
      <c r="D338" s="177">
        <v>100000000</v>
      </c>
      <c r="E338" s="26"/>
      <c r="F338" s="184">
        <v>-1.0274999999999998E-2</v>
      </c>
      <c r="G338" s="177">
        <v>720000000</v>
      </c>
      <c r="H338" s="177">
        <v>1451343000</v>
      </c>
      <c r="I338" s="175">
        <v>0.49609224008383956</v>
      </c>
      <c r="J338" s="177">
        <v>22.5</v>
      </c>
    </row>
    <row r="339" spans="1:10">
      <c r="A339" s="65">
        <v>5015</v>
      </c>
      <c r="B339" s="175">
        <v>0.3</v>
      </c>
      <c r="C339" s="184">
        <v>1</v>
      </c>
      <c r="D339" s="177">
        <v>60000000</v>
      </c>
      <c r="E339" s="26"/>
      <c r="F339" s="184">
        <v>2.5858333333333341E-2</v>
      </c>
      <c r="G339" s="177">
        <v>1056000000.0000001</v>
      </c>
      <c r="H339" s="177">
        <v>2119110000</v>
      </c>
      <c r="I339" s="175">
        <v>0.49832240893582691</v>
      </c>
      <c r="J339" s="177">
        <v>14.666666666666668</v>
      </c>
    </row>
    <row r="340" spans="1:10">
      <c r="A340" s="65">
        <v>8905</v>
      </c>
      <c r="B340" s="175">
        <v>-0.21</v>
      </c>
      <c r="C340" s="184">
        <v>0.91891891891891897</v>
      </c>
      <c r="D340" s="177">
        <v>104761904.76190476</v>
      </c>
      <c r="E340" s="26"/>
      <c r="F340" s="184">
        <v>-3.8883333333333339E-2</v>
      </c>
      <c r="G340" s="177">
        <v>1571428571.4285715</v>
      </c>
      <c r="H340" s="177">
        <v>3150090000</v>
      </c>
      <c r="I340" s="175">
        <v>0.49885196023877776</v>
      </c>
      <c r="J340" s="177">
        <v>0</v>
      </c>
    </row>
    <row r="341" spans="1:10">
      <c r="A341" s="65">
        <v>4175</v>
      </c>
      <c r="B341" s="175">
        <v>1.1000000000000001</v>
      </c>
      <c r="C341" s="184">
        <v>0.90322580645161288</v>
      </c>
      <c r="D341" s="177">
        <v>25454545.454545453</v>
      </c>
      <c r="E341" s="26"/>
      <c r="F341" s="184">
        <v>1.3933333333333331E-2</v>
      </c>
      <c r="G341" s="177">
        <v>1891272727.272727</v>
      </c>
      <c r="H341" s="177">
        <v>3790029000</v>
      </c>
      <c r="I341" s="175">
        <v>0.49901273242836058</v>
      </c>
      <c r="J341" s="177">
        <v>18.69561688311688</v>
      </c>
    </row>
    <row r="342" spans="1:10">
      <c r="A342" s="65">
        <v>9933</v>
      </c>
      <c r="B342" s="175">
        <v>0.75</v>
      </c>
      <c r="C342" s="184">
        <v>1</v>
      </c>
      <c r="D342" s="177">
        <v>754666666.66666663</v>
      </c>
      <c r="E342" s="26"/>
      <c r="F342" s="184">
        <v>2.6633333333333339E-2</v>
      </c>
      <c r="G342" s="177">
        <v>31696000000</v>
      </c>
      <c r="H342" s="177">
        <v>63448715000</v>
      </c>
      <c r="I342" s="175">
        <v>0.49955306423463425</v>
      </c>
      <c r="J342" s="177">
        <v>14</v>
      </c>
    </row>
    <row r="343" spans="1:10">
      <c r="A343" s="65">
        <v>1220</v>
      </c>
      <c r="B343" s="180">
        <v>0.17</v>
      </c>
      <c r="C343" s="184">
        <v>0.72413793103448276</v>
      </c>
      <c r="D343" s="181">
        <v>182352941.17647058</v>
      </c>
      <c r="E343" s="179"/>
      <c r="F343" s="184">
        <v>9.799999999999991E-3</v>
      </c>
      <c r="G343" s="181">
        <v>1832647058.8235295</v>
      </c>
      <c r="H343" s="181">
        <v>3667756000</v>
      </c>
      <c r="I343" s="180">
        <v>0.49966438847718592</v>
      </c>
      <c r="J343" s="181">
        <v>20.409663865546218</v>
      </c>
    </row>
    <row r="344" spans="1:10">
      <c r="A344" s="65">
        <v>6109</v>
      </c>
      <c r="B344" s="175">
        <v>0.52</v>
      </c>
      <c r="C344" s="184">
        <v>0.47826086956521741</v>
      </c>
      <c r="D344" s="177">
        <v>73076923.076923072</v>
      </c>
      <c r="E344" s="26"/>
      <c r="F344" s="184">
        <v>3.9450000000000006E-2</v>
      </c>
      <c r="G344" s="177">
        <v>1008461538.4615384</v>
      </c>
      <c r="H344" s="177">
        <v>2014757000</v>
      </c>
      <c r="I344" s="175">
        <v>0.50053755289672075</v>
      </c>
      <c r="J344" s="177">
        <v>13.872377622377622</v>
      </c>
    </row>
    <row r="345" spans="1:10">
      <c r="A345" s="65">
        <v>2365</v>
      </c>
      <c r="B345" s="175">
        <v>0.11</v>
      </c>
      <c r="C345" s="184">
        <v>0.70909090909090911</v>
      </c>
      <c r="D345" s="177">
        <v>300000000</v>
      </c>
      <c r="E345" s="26"/>
      <c r="F345" s="184">
        <v>-2.1000000000000008E-2</v>
      </c>
      <c r="G345" s="177">
        <v>3105000000</v>
      </c>
      <c r="H345" s="177">
        <v>6176830000</v>
      </c>
      <c r="I345" s="175">
        <v>0.50268503423276989</v>
      </c>
      <c r="J345" s="177">
        <v>33.17307692307692</v>
      </c>
    </row>
    <row r="346" spans="1:10">
      <c r="A346" s="65">
        <v>3508</v>
      </c>
      <c r="B346" s="175">
        <v>-1.24</v>
      </c>
      <c r="C346" s="184">
        <v>0.90873015873015872</v>
      </c>
      <c r="D346" s="177">
        <v>91935483.870967746</v>
      </c>
      <c r="E346" s="26"/>
      <c r="F346" s="184">
        <v>7.9649999999999999E-2</v>
      </c>
      <c r="G346" s="177">
        <v>1604274193.5483871</v>
      </c>
      <c r="H346" s="177">
        <v>3180714000</v>
      </c>
      <c r="I346" s="175">
        <v>0.50437549353647859</v>
      </c>
      <c r="J346" s="177">
        <v>0</v>
      </c>
    </row>
    <row r="347" spans="1:10">
      <c r="A347" s="65">
        <v>8064</v>
      </c>
      <c r="B347" s="175">
        <v>0.1</v>
      </c>
      <c r="C347" s="184">
        <v>1</v>
      </c>
      <c r="D347" s="177">
        <v>130000000</v>
      </c>
      <c r="E347" s="26"/>
      <c r="F347" s="184">
        <v>1.0874999999999994E-2</v>
      </c>
      <c r="G347" s="177">
        <v>1553500000</v>
      </c>
      <c r="H347" s="177">
        <v>3075152000</v>
      </c>
      <c r="I347" s="175">
        <v>0.50517828061832393</v>
      </c>
      <c r="J347" s="177">
        <v>29.874999999999996</v>
      </c>
    </row>
    <row r="348" spans="1:10">
      <c r="A348" s="65">
        <v>3580</v>
      </c>
      <c r="B348" s="175">
        <v>-0.82</v>
      </c>
      <c r="C348" s="184">
        <v>0.71641791044776115</v>
      </c>
      <c r="D348" s="177">
        <v>50000000</v>
      </c>
      <c r="E348" s="26"/>
      <c r="F348" s="184">
        <v>0.10690000000000001</v>
      </c>
      <c r="G348" s="177">
        <v>282500000</v>
      </c>
      <c r="H348" s="177">
        <v>558864000</v>
      </c>
      <c r="I348" s="175">
        <v>0.50548970769274815</v>
      </c>
      <c r="J348" s="177">
        <v>0</v>
      </c>
    </row>
    <row r="349" spans="1:10">
      <c r="A349" s="65">
        <v>1443</v>
      </c>
      <c r="B349" s="175">
        <v>-0.2</v>
      </c>
      <c r="C349" s="184">
        <v>0.23076923076923078</v>
      </c>
      <c r="D349" s="177">
        <v>130000000</v>
      </c>
      <c r="E349" s="26"/>
      <c r="F349" s="184">
        <v>3.3000000000000065E-3</v>
      </c>
      <c r="G349" s="177">
        <v>661700000</v>
      </c>
      <c r="H349" s="177">
        <v>1308131000</v>
      </c>
      <c r="I349" s="175">
        <v>0.50583618918900319</v>
      </c>
      <c r="J349" s="177">
        <v>0</v>
      </c>
    </row>
    <row r="350" spans="1:10">
      <c r="A350" s="65">
        <v>4502</v>
      </c>
      <c r="B350" s="175">
        <v>0.18</v>
      </c>
      <c r="C350" s="184">
        <v>0</v>
      </c>
      <c r="D350" s="177">
        <v>72222222.222222224</v>
      </c>
      <c r="E350" s="26"/>
      <c r="F350" s="184">
        <v>0.13892499999999999</v>
      </c>
      <c r="G350" s="177">
        <v>635555555.55555558</v>
      </c>
      <c r="H350" s="177">
        <v>1255356000</v>
      </c>
      <c r="I350" s="175">
        <v>0.50627515665321676</v>
      </c>
      <c r="J350" s="177">
        <v>0</v>
      </c>
    </row>
    <row r="351" spans="1:10">
      <c r="A351" s="65">
        <v>4933</v>
      </c>
      <c r="B351" s="175">
        <v>0.26</v>
      </c>
      <c r="C351" s="184">
        <v>1</v>
      </c>
      <c r="D351" s="177">
        <v>76923076.923076928</v>
      </c>
      <c r="E351" s="26"/>
      <c r="F351" s="184">
        <v>1.2033333333333333E-2</v>
      </c>
      <c r="G351" s="177">
        <v>2023076923.0769234</v>
      </c>
      <c r="H351" s="177">
        <v>3992684000</v>
      </c>
      <c r="I351" s="175">
        <v>0.50669597771246699</v>
      </c>
      <c r="J351" s="177">
        <v>25.288461538461537</v>
      </c>
    </row>
    <row r="352" spans="1:10">
      <c r="A352" s="65">
        <v>9937</v>
      </c>
      <c r="B352" s="175">
        <v>0.68</v>
      </c>
      <c r="C352" s="184">
        <v>0.28169014084507044</v>
      </c>
      <c r="D352" s="177">
        <v>308823529.41176468</v>
      </c>
      <c r="E352" s="26"/>
      <c r="F352" s="184">
        <v>-2.435E-2</v>
      </c>
      <c r="G352" s="177">
        <v>11241176470.588234</v>
      </c>
      <c r="H352" s="177">
        <v>22020314000</v>
      </c>
      <c r="I352" s="175">
        <v>0.51049119783615415</v>
      </c>
      <c r="J352" s="177">
        <v>47.507352941176464</v>
      </c>
    </row>
    <row r="353" spans="1:10">
      <c r="A353" s="65">
        <v>4207</v>
      </c>
      <c r="B353" s="175">
        <v>0.06</v>
      </c>
      <c r="C353" s="184">
        <v>1</v>
      </c>
      <c r="D353" s="177">
        <v>166666666.66666669</v>
      </c>
      <c r="E353" s="26"/>
      <c r="F353" s="184">
        <v>-3.0750000000000013E-3</v>
      </c>
      <c r="G353" s="177">
        <v>1666666666.666667</v>
      </c>
      <c r="H353" s="177">
        <v>3261359000</v>
      </c>
      <c r="I353" s="175">
        <v>0.51103440825332846</v>
      </c>
      <c r="J353" s="177">
        <v>41.666666666666671</v>
      </c>
    </row>
    <row r="354" spans="1:10">
      <c r="A354" s="65">
        <v>5902</v>
      </c>
      <c r="B354" s="175">
        <v>0.03</v>
      </c>
      <c r="C354" s="184">
        <v>1</v>
      </c>
      <c r="D354" s="177">
        <v>100000000</v>
      </c>
      <c r="E354" s="26"/>
      <c r="F354" s="184">
        <v>-9.9083333333333332E-3</v>
      </c>
      <c r="G354" s="177">
        <v>1000000000</v>
      </c>
      <c r="H354" s="177">
        <v>1956687000</v>
      </c>
      <c r="I354" s="175">
        <v>0.5110679429055337</v>
      </c>
      <c r="J354" s="177">
        <v>50</v>
      </c>
    </row>
    <row r="355" spans="1:10">
      <c r="A355" s="65">
        <v>4720</v>
      </c>
      <c r="B355" s="175">
        <v>0.35</v>
      </c>
      <c r="C355" s="184">
        <v>0.88636363636363635</v>
      </c>
      <c r="D355" s="177">
        <v>80000000</v>
      </c>
      <c r="E355" s="26"/>
      <c r="F355" s="184">
        <v>5.0033333333333325E-2</v>
      </c>
      <c r="G355" s="177">
        <v>1276000000</v>
      </c>
      <c r="H355" s="177">
        <v>2484347000</v>
      </c>
      <c r="I355" s="175">
        <v>0.51361585156984912</v>
      </c>
      <c r="J355" s="177">
        <v>12.853479853479854</v>
      </c>
    </row>
    <row r="356" spans="1:10">
      <c r="A356" s="65">
        <v>2345</v>
      </c>
      <c r="B356" s="175">
        <v>0.42</v>
      </c>
      <c r="C356" s="184">
        <v>1</v>
      </c>
      <c r="D356" s="177">
        <v>535714285.71428573</v>
      </c>
      <c r="E356" s="26"/>
      <c r="F356" s="184">
        <v>3.9108333333333335E-2</v>
      </c>
      <c r="G356" s="177">
        <v>12294642857.142857</v>
      </c>
      <c r="H356" s="177">
        <v>23916446000</v>
      </c>
      <c r="I356" s="175">
        <v>0.51406646527426592</v>
      </c>
      <c r="J356" s="177">
        <v>13.660714285714286</v>
      </c>
    </row>
    <row r="357" spans="1:10">
      <c r="A357" s="65">
        <v>6158</v>
      </c>
      <c r="B357" s="175">
        <v>-0.56000000000000005</v>
      </c>
      <c r="C357" s="184">
        <v>1</v>
      </c>
      <c r="D357" s="177">
        <v>112499999.99999999</v>
      </c>
      <c r="E357" s="26"/>
      <c r="F357" s="184">
        <v>-7.4166666666667031E-4</v>
      </c>
      <c r="G357" s="177">
        <v>1164374999.9999998</v>
      </c>
      <c r="H357" s="177">
        <v>2262759000</v>
      </c>
      <c r="I357" s="175">
        <v>0.5145819771349931</v>
      </c>
      <c r="J357" s="177">
        <v>0</v>
      </c>
    </row>
    <row r="358" spans="1:10">
      <c r="A358" s="65">
        <v>4942</v>
      </c>
      <c r="B358" s="175">
        <v>-0.25</v>
      </c>
      <c r="C358" s="184">
        <v>1</v>
      </c>
      <c r="D358" s="177">
        <v>156000000</v>
      </c>
      <c r="E358" s="26"/>
      <c r="F358" s="184">
        <v>-1.1533333333333333E-2</v>
      </c>
      <c r="G358" s="177">
        <v>3907800000</v>
      </c>
      <c r="H358" s="177">
        <v>7570981000</v>
      </c>
      <c r="I358" s="175">
        <v>0.51615503988188582</v>
      </c>
      <c r="J358" s="177">
        <v>0</v>
      </c>
    </row>
    <row r="359" spans="1:10">
      <c r="A359" s="65">
        <v>8215</v>
      </c>
      <c r="B359" s="175">
        <v>0.46</v>
      </c>
      <c r="C359" s="184">
        <v>0.82191780821917804</v>
      </c>
      <c r="D359" s="177">
        <v>321739130.43478262</v>
      </c>
      <c r="E359" s="26"/>
      <c r="F359" s="184">
        <v>-1.283333333333333E-2</v>
      </c>
      <c r="G359" s="177">
        <v>7770000000</v>
      </c>
      <c r="H359" s="177">
        <v>15036787000</v>
      </c>
      <c r="I359" s="175">
        <v>0.5167327302036</v>
      </c>
      <c r="J359" s="177">
        <v>15.968749999999998</v>
      </c>
    </row>
    <row r="360" spans="1:10">
      <c r="A360" s="65">
        <v>3056</v>
      </c>
      <c r="B360" s="175">
        <v>-0.06</v>
      </c>
      <c r="C360" s="184">
        <v>0.75</v>
      </c>
      <c r="D360" s="177">
        <v>166666666.66666669</v>
      </c>
      <c r="E360" s="26"/>
      <c r="F360" s="184">
        <v>9.040166666666666</v>
      </c>
      <c r="G360" s="177">
        <v>2275000000.0000005</v>
      </c>
      <c r="H360" s="177">
        <v>4389356000</v>
      </c>
      <c r="I360" s="175">
        <v>0.51829926759187461</v>
      </c>
      <c r="J360" s="177">
        <v>0</v>
      </c>
    </row>
    <row r="361" spans="1:10">
      <c r="A361" s="65">
        <v>6153</v>
      </c>
      <c r="B361" s="175">
        <v>-0.16</v>
      </c>
      <c r="C361" s="184">
        <v>1</v>
      </c>
      <c r="D361" s="177">
        <v>325000000</v>
      </c>
      <c r="E361" s="26"/>
      <c r="F361" s="184">
        <v>1.4649999999999991E-2</v>
      </c>
      <c r="G361" s="177">
        <v>8856250000</v>
      </c>
      <c r="H361" s="177">
        <v>17031020000</v>
      </c>
      <c r="I361" s="175">
        <v>0.52000702248015684</v>
      </c>
      <c r="J361" s="177">
        <v>0</v>
      </c>
    </row>
    <row r="362" spans="1:10">
      <c r="A362" s="65">
        <v>1538</v>
      </c>
      <c r="B362" s="175">
        <v>-0.9</v>
      </c>
      <c r="C362" s="184">
        <v>0.20370370370370369</v>
      </c>
      <c r="D362" s="177">
        <v>83333333.333333328</v>
      </c>
      <c r="E362" s="26"/>
      <c r="F362" s="184">
        <v>7.2166666666666664E-3</v>
      </c>
      <c r="G362" s="177">
        <v>414166666.66666663</v>
      </c>
      <c r="H362" s="177">
        <v>795893000</v>
      </c>
      <c r="I362" s="175">
        <v>0.52037983330255022</v>
      </c>
      <c r="J362" s="177">
        <v>0</v>
      </c>
    </row>
    <row r="363" spans="1:10">
      <c r="A363" s="65">
        <v>3115</v>
      </c>
      <c r="B363" s="175">
        <v>0.17</v>
      </c>
      <c r="C363" s="184">
        <v>0</v>
      </c>
      <c r="D363" s="177">
        <v>47058823.529411763</v>
      </c>
      <c r="E363" s="26"/>
      <c r="F363" s="184">
        <v>5.5966666666666665E-2</v>
      </c>
      <c r="G363" s="177">
        <v>464941176.47058827</v>
      </c>
      <c r="H363" s="177">
        <v>891961000</v>
      </c>
      <c r="I363" s="175">
        <v>0.52125729316706482</v>
      </c>
      <c r="J363" s="177">
        <v>0</v>
      </c>
    </row>
    <row r="364" spans="1:10">
      <c r="A364" s="65">
        <v>8059</v>
      </c>
      <c r="B364" s="175">
        <v>0.41</v>
      </c>
      <c r="C364" s="184">
        <v>0.94871794871794868</v>
      </c>
      <c r="D364" s="177">
        <v>90243902.439024389</v>
      </c>
      <c r="E364" s="26"/>
      <c r="F364" s="184">
        <v>-8.2483333333333325E-2</v>
      </c>
      <c r="G364" s="177">
        <v>1001707317.0731707</v>
      </c>
      <c r="H364" s="177">
        <v>1916770000</v>
      </c>
      <c r="I364" s="175">
        <v>0.52260172951015027</v>
      </c>
      <c r="J364" s="177">
        <v>7.1341463414634152</v>
      </c>
    </row>
    <row r="365" spans="1:10">
      <c r="A365" s="65">
        <v>2618</v>
      </c>
      <c r="B365" s="175">
        <v>0.44</v>
      </c>
      <c r="C365" s="184">
        <v>1</v>
      </c>
      <c r="D365" s="177">
        <v>3731818181.818182</v>
      </c>
      <c r="E365" s="26"/>
      <c r="F365" s="184">
        <v>4.8083333333333346E-3</v>
      </c>
      <c r="G365" s="177">
        <v>71650909090.909088</v>
      </c>
      <c r="H365" s="177">
        <v>137014780000</v>
      </c>
      <c r="I365" s="175">
        <v>0.52294291966829487</v>
      </c>
      <c r="J365" s="177">
        <v>10.909090909090908</v>
      </c>
    </row>
    <row r="366" spans="1:10">
      <c r="A366" s="65">
        <v>2462</v>
      </c>
      <c r="B366" s="175">
        <v>0.02</v>
      </c>
      <c r="C366" s="184">
        <v>1</v>
      </c>
      <c r="D366" s="177">
        <v>150000000</v>
      </c>
      <c r="E366" s="26"/>
      <c r="F366" s="184">
        <v>1.7941666666666668E-2</v>
      </c>
      <c r="G366" s="177">
        <v>2250000000</v>
      </c>
      <c r="H366" s="177">
        <v>4290383000</v>
      </c>
      <c r="I366" s="175">
        <v>0.52442870484989335</v>
      </c>
      <c r="J366" s="177">
        <v>50</v>
      </c>
    </row>
    <row r="367" spans="1:10">
      <c r="A367" s="65">
        <v>8289</v>
      </c>
      <c r="B367" s="175">
        <v>0.17</v>
      </c>
      <c r="C367" s="184">
        <v>1</v>
      </c>
      <c r="D367" s="177">
        <v>76470588.235294119</v>
      </c>
      <c r="E367" s="26"/>
      <c r="F367" s="184">
        <v>2.07E-2</v>
      </c>
      <c r="G367" s="177">
        <v>852647058.82352948</v>
      </c>
      <c r="H367" s="177">
        <v>1625482000</v>
      </c>
      <c r="I367" s="175">
        <v>0.52455029266613196</v>
      </c>
      <c r="J367" s="177">
        <v>16.397058823529409</v>
      </c>
    </row>
    <row r="368" spans="1:10">
      <c r="A368" s="65">
        <v>3308</v>
      </c>
      <c r="B368" s="175">
        <v>0.11</v>
      </c>
      <c r="C368" s="184">
        <v>0</v>
      </c>
      <c r="D368" s="177">
        <v>100000000</v>
      </c>
      <c r="E368" s="26"/>
      <c r="F368" s="184">
        <v>1.969166666666668E-2</v>
      </c>
      <c r="G368" s="177">
        <v>840000000</v>
      </c>
      <c r="H368" s="177">
        <v>1592710000</v>
      </c>
      <c r="I368" s="175">
        <v>0.52740297982683604</v>
      </c>
      <c r="J368" s="177">
        <v>0</v>
      </c>
    </row>
    <row r="369" spans="1:10">
      <c r="A369" s="65">
        <v>2468</v>
      </c>
      <c r="B369" s="175">
        <v>0.2</v>
      </c>
      <c r="C369" s="184">
        <v>0.8</v>
      </c>
      <c r="D369" s="177">
        <v>70000000</v>
      </c>
      <c r="E369" s="26"/>
      <c r="F369" s="184">
        <v>5.9475E-2</v>
      </c>
      <c r="G369" s="177">
        <v>752500000</v>
      </c>
      <c r="H369" s="177">
        <v>1421065000</v>
      </c>
      <c r="I369" s="175">
        <v>0.52953242814368096</v>
      </c>
      <c r="J369" s="177">
        <v>16.796874999999996</v>
      </c>
    </row>
    <row r="370" spans="1:10">
      <c r="A370" s="65">
        <v>5388</v>
      </c>
      <c r="B370" s="175">
        <v>1.43</v>
      </c>
      <c r="C370" s="184">
        <v>0.89939637826961771</v>
      </c>
      <c r="D370" s="177">
        <v>230069930.06993008</v>
      </c>
      <c r="E370" s="26"/>
      <c r="F370" s="184">
        <v>5.0708333333333334E-2</v>
      </c>
      <c r="G370" s="177">
        <v>17485314685.314686</v>
      </c>
      <c r="H370" s="177">
        <v>32910715000</v>
      </c>
      <c r="I370" s="175">
        <v>0.53129549708399482</v>
      </c>
      <c r="J370" s="177">
        <v>14.772922826614103</v>
      </c>
    </row>
    <row r="371" spans="1:10">
      <c r="A371" s="65">
        <v>9904</v>
      </c>
      <c r="B371" s="175">
        <v>0.91</v>
      </c>
      <c r="C371" s="184">
        <v>1.2554927809165096E-2</v>
      </c>
      <c r="D371" s="177">
        <v>2948351648.3516483</v>
      </c>
      <c r="E371" s="26"/>
      <c r="F371" s="184">
        <v>1.1466666666666668E-2</v>
      </c>
      <c r="G371" s="177">
        <v>140194120879.12088</v>
      </c>
      <c r="H371" s="177">
        <v>263018336000</v>
      </c>
      <c r="I371" s="175">
        <v>0.53302033238899693</v>
      </c>
      <c r="J371" s="177">
        <v>50</v>
      </c>
    </row>
    <row r="372" spans="1:10">
      <c r="A372" s="65">
        <v>5536</v>
      </c>
      <c r="B372" s="175">
        <v>3.34</v>
      </c>
      <c r="C372" s="184">
        <v>0.98067632850241548</v>
      </c>
      <c r="D372" s="177">
        <v>46107784.431137726</v>
      </c>
      <c r="E372" s="26"/>
      <c r="F372" s="184">
        <v>7.6008333333333344E-2</v>
      </c>
      <c r="G372" s="177">
        <v>4260359281.4371262</v>
      </c>
      <c r="H372" s="177">
        <v>7984315000</v>
      </c>
      <c r="I372" s="175">
        <v>0.53359108219516971</v>
      </c>
      <c r="J372" s="177">
        <v>7.0524468304769776</v>
      </c>
    </row>
    <row r="373" spans="1:10">
      <c r="A373" s="65">
        <v>6266</v>
      </c>
      <c r="B373" s="175">
        <v>0.41</v>
      </c>
      <c r="C373" s="184">
        <v>1</v>
      </c>
      <c r="D373" s="177">
        <v>85365853.658536583</v>
      </c>
      <c r="E373" s="26"/>
      <c r="F373" s="184">
        <v>3.0374999999999996E-2</v>
      </c>
      <c r="G373" s="177">
        <v>1114024390.2439024</v>
      </c>
      <c r="H373" s="177">
        <v>2086352000</v>
      </c>
      <c r="I373" s="175">
        <v>0.53395802349934351</v>
      </c>
      <c r="J373" s="177">
        <v>7.9573170731707323</v>
      </c>
    </row>
    <row r="374" spans="1:10">
      <c r="A374" s="65">
        <v>2405</v>
      </c>
      <c r="B374" s="175">
        <v>-0.23</v>
      </c>
      <c r="C374" s="184">
        <v>1</v>
      </c>
      <c r="D374" s="177">
        <v>343478260.86956519</v>
      </c>
      <c r="E374" s="26"/>
      <c r="F374" s="184">
        <v>3.6616666666666665E-2</v>
      </c>
      <c r="G374" s="177">
        <v>2747826086.9565215</v>
      </c>
      <c r="H374" s="177">
        <v>5144340000</v>
      </c>
      <c r="I374" s="175">
        <v>0.53414550495428403</v>
      </c>
      <c r="J374" s="177">
        <v>0</v>
      </c>
    </row>
    <row r="375" spans="1:10">
      <c r="A375" s="65">
        <v>6226</v>
      </c>
      <c r="B375" s="175">
        <v>-0.34</v>
      </c>
      <c r="C375" s="184">
        <v>0.58823529411764708</v>
      </c>
      <c r="D375" s="177">
        <v>91176470.588235289</v>
      </c>
      <c r="E375" s="26"/>
      <c r="F375" s="184">
        <v>2.7483333333333335E-2</v>
      </c>
      <c r="G375" s="177">
        <v>601764705.88235283</v>
      </c>
      <c r="H375" s="177">
        <v>1124954000</v>
      </c>
      <c r="I375" s="175">
        <v>0.53492383322549442</v>
      </c>
      <c r="J375" s="177">
        <v>0</v>
      </c>
    </row>
    <row r="376" spans="1:10">
      <c r="A376" s="65">
        <v>1810</v>
      </c>
      <c r="B376" s="175">
        <v>0.14000000000000001</v>
      </c>
      <c r="C376" s="184">
        <v>0.66666666666666663</v>
      </c>
      <c r="D376" s="177">
        <v>371428571.4285714</v>
      </c>
      <c r="E376" s="26"/>
      <c r="F376" s="184">
        <v>1.0458333333333332E-2</v>
      </c>
      <c r="G376" s="177">
        <v>3108857142.8571424</v>
      </c>
      <c r="H376" s="177">
        <v>5807213000</v>
      </c>
      <c r="I376" s="175">
        <v>0.53534408723378024</v>
      </c>
      <c r="J376" s="177">
        <v>22.419642857142854</v>
      </c>
    </row>
    <row r="377" spans="1:10">
      <c r="A377" s="65">
        <v>6298</v>
      </c>
      <c r="B377" s="175">
        <v>0.31</v>
      </c>
      <c r="C377" s="184">
        <v>0.58415841584158412</v>
      </c>
      <c r="D377" s="177">
        <v>167741935.48387098</v>
      </c>
      <c r="E377" s="26"/>
      <c r="F377" s="184">
        <v>2.066666666666668E-3</v>
      </c>
      <c r="G377" s="177">
        <v>2960645161.2903228</v>
      </c>
      <c r="H377" s="177">
        <v>5529636000</v>
      </c>
      <c r="I377" s="175">
        <v>0.53541411429076391</v>
      </c>
      <c r="J377" s="177">
        <v>24.366457080371788</v>
      </c>
    </row>
    <row r="378" spans="1:10">
      <c r="A378" s="65">
        <v>8047</v>
      </c>
      <c r="B378" s="175">
        <v>0.2</v>
      </c>
      <c r="C378" s="184">
        <v>1</v>
      </c>
      <c r="D378" s="177">
        <v>40000000</v>
      </c>
      <c r="E378" s="26"/>
      <c r="F378" s="184">
        <v>3.7025000000000002E-2</v>
      </c>
      <c r="G378" s="177">
        <v>448000000</v>
      </c>
      <c r="H378" s="177">
        <v>835184000</v>
      </c>
      <c r="I378" s="175">
        <v>0.53640874346251843</v>
      </c>
      <c r="J378" s="177">
        <v>13.999999999999998</v>
      </c>
    </row>
    <row r="379" spans="1:10">
      <c r="A379" s="65">
        <v>4939</v>
      </c>
      <c r="B379" s="175">
        <v>-0.49</v>
      </c>
      <c r="C379" s="184">
        <v>0.55555555555555558</v>
      </c>
      <c r="D379" s="177">
        <v>97959183.673469394</v>
      </c>
      <c r="E379" s="26"/>
      <c r="F379" s="184">
        <v>-2.7166666666666693E-3</v>
      </c>
      <c r="G379" s="177">
        <v>864979591.83673477</v>
      </c>
      <c r="H379" s="177">
        <v>1611353000</v>
      </c>
      <c r="I379" s="175">
        <v>0.53680329005297711</v>
      </c>
      <c r="J379" s="177">
        <v>0</v>
      </c>
    </row>
    <row r="380" spans="1:10">
      <c r="A380" s="65">
        <v>8176</v>
      </c>
      <c r="B380" s="175">
        <v>-0.21</v>
      </c>
      <c r="C380" s="184">
        <v>0.79166666666666663</v>
      </c>
      <c r="D380" s="177">
        <v>80952380.952380955</v>
      </c>
      <c r="E380" s="26"/>
      <c r="F380" s="184">
        <v>8.2358333333333353E-2</v>
      </c>
      <c r="G380" s="177">
        <v>645190476.19047618</v>
      </c>
      <c r="H380" s="177">
        <v>1200504000</v>
      </c>
      <c r="I380" s="175">
        <v>0.5374330082952461</v>
      </c>
      <c r="J380" s="177">
        <v>0</v>
      </c>
    </row>
    <row r="381" spans="1:10">
      <c r="A381" s="65">
        <v>8401</v>
      </c>
      <c r="B381" s="175">
        <v>0.4</v>
      </c>
      <c r="C381" s="184">
        <v>0.86956521739130432</v>
      </c>
      <c r="D381" s="177">
        <v>60000000</v>
      </c>
      <c r="E381" s="26"/>
      <c r="F381" s="184">
        <v>1.1916666666666657E-3</v>
      </c>
      <c r="G381" s="177">
        <v>741000000</v>
      </c>
      <c r="H381" s="177">
        <v>1376871000</v>
      </c>
      <c r="I381" s="175">
        <v>0.53817677908823702</v>
      </c>
      <c r="J381" s="177">
        <v>8.8765625000000004</v>
      </c>
    </row>
    <row r="382" spans="1:10">
      <c r="A382" s="65">
        <v>8929</v>
      </c>
      <c r="B382" s="175">
        <v>7.0000000000000007E-2</v>
      </c>
      <c r="C382" s="184">
        <v>0.625</v>
      </c>
      <c r="D382" s="177">
        <v>28571428.571428567</v>
      </c>
      <c r="E382" s="26"/>
      <c r="F382" s="184">
        <v>1.6258333333333336E-2</v>
      </c>
      <c r="G382" s="177">
        <v>711428571.42857122</v>
      </c>
      <c r="H382" s="177">
        <v>1314809000</v>
      </c>
      <c r="I382" s="175">
        <v>0.5410889120994542</v>
      </c>
      <c r="J382" s="177">
        <v>50</v>
      </c>
    </row>
    <row r="383" spans="1:10">
      <c r="A383" s="65">
        <v>5356</v>
      </c>
      <c r="B383" s="175">
        <v>0.48</v>
      </c>
      <c r="C383" s="184">
        <v>0.6376811594202898</v>
      </c>
      <c r="D383" s="177">
        <v>129166666.66666667</v>
      </c>
      <c r="E383" s="26"/>
      <c r="F383" s="184">
        <v>-5.8916666666666657E-3</v>
      </c>
      <c r="G383" s="177">
        <v>5166666666.666667</v>
      </c>
      <c r="H383" s="177">
        <v>9546068000</v>
      </c>
      <c r="I383" s="175">
        <v>0.54123505789678716</v>
      </c>
      <c r="J383" s="177">
        <v>32.670454545454547</v>
      </c>
    </row>
    <row r="384" spans="1:10">
      <c r="A384" s="65">
        <v>3388</v>
      </c>
      <c r="B384" s="175">
        <v>1.23</v>
      </c>
      <c r="C384" s="184">
        <v>1</v>
      </c>
      <c r="D384" s="177">
        <v>61788617.886178866</v>
      </c>
      <c r="E384" s="26"/>
      <c r="F384" s="184">
        <v>5.8999999999999947E-3</v>
      </c>
      <c r="G384" s="177">
        <v>3874146341.4634151</v>
      </c>
      <c r="H384" s="177">
        <v>7146839000</v>
      </c>
      <c r="I384" s="175">
        <v>0.54207830083529451</v>
      </c>
      <c r="J384" s="177">
        <v>12.74390243902439</v>
      </c>
    </row>
    <row r="385" spans="1:11">
      <c r="A385" s="65">
        <v>5450</v>
      </c>
      <c r="B385" s="175">
        <v>-0.34</v>
      </c>
      <c r="C385" s="184">
        <v>1</v>
      </c>
      <c r="D385" s="177">
        <v>50000000</v>
      </c>
      <c r="E385" s="26"/>
      <c r="F385" s="184">
        <v>1.5983333333333332E-2</v>
      </c>
      <c r="G385" s="177">
        <v>410500000.00000006</v>
      </c>
      <c r="H385" s="177">
        <v>756800000</v>
      </c>
      <c r="I385" s="175">
        <v>0.5424154334038056</v>
      </c>
      <c r="J385" s="177">
        <v>0</v>
      </c>
    </row>
    <row r="386" spans="1:11">
      <c r="A386" s="65">
        <v>8924</v>
      </c>
      <c r="B386" s="175">
        <v>-0.91</v>
      </c>
      <c r="C386" s="184">
        <v>1</v>
      </c>
      <c r="D386" s="177">
        <v>120879120.87912087</v>
      </c>
      <c r="E386" s="26"/>
      <c r="F386" s="184">
        <v>2.6250000000000013E-2</v>
      </c>
      <c r="G386" s="177">
        <v>2405494505.4945054</v>
      </c>
      <c r="H386" s="177">
        <v>4434440000</v>
      </c>
      <c r="I386" s="175">
        <v>0.54245733519779393</v>
      </c>
      <c r="J386" s="177">
        <v>0</v>
      </c>
    </row>
    <row r="387" spans="1:11">
      <c r="A387" s="65">
        <v>6285</v>
      </c>
      <c r="B387" s="175">
        <v>1.22</v>
      </c>
      <c r="C387" s="184">
        <v>0.93348891481913654</v>
      </c>
      <c r="D387" s="177">
        <v>324590163.93442625</v>
      </c>
      <c r="E387" s="26"/>
      <c r="F387" s="184">
        <v>2.2541666666666668E-2</v>
      </c>
      <c r="G387" s="177">
        <v>27265573770.491806</v>
      </c>
      <c r="H387" s="177">
        <v>49979111000</v>
      </c>
      <c r="I387" s="175">
        <v>0.54553939085654812</v>
      </c>
      <c r="J387" s="177">
        <v>18.439549180327869</v>
      </c>
    </row>
    <row r="388" spans="1:11">
      <c r="A388" s="65">
        <v>8930</v>
      </c>
      <c r="B388" s="175">
        <v>-0.03</v>
      </c>
      <c r="C388" s="184">
        <v>0.375</v>
      </c>
      <c r="D388" s="177">
        <v>66666666.666666672</v>
      </c>
      <c r="E388" s="26"/>
      <c r="F388" s="184">
        <v>2.1541666666666667E-2</v>
      </c>
      <c r="G388" s="177">
        <v>612000000</v>
      </c>
      <c r="H388" s="177">
        <v>1121306000</v>
      </c>
      <c r="I388" s="175">
        <v>0.54579213880956667</v>
      </c>
      <c r="J388" s="177">
        <v>0</v>
      </c>
    </row>
    <row r="389" spans="1:11">
      <c r="A389" s="65">
        <v>1305</v>
      </c>
      <c r="B389" s="175">
        <v>0.54</v>
      </c>
      <c r="C389" s="184">
        <v>1</v>
      </c>
      <c r="D389" s="177">
        <v>468518518.51851851</v>
      </c>
      <c r="E389" s="26"/>
      <c r="F389" s="184">
        <v>2.2683333333333333E-2</v>
      </c>
      <c r="G389" s="177">
        <v>7472870370.3703699</v>
      </c>
      <c r="H389" s="177">
        <v>13675185000</v>
      </c>
      <c r="I389" s="175">
        <v>0.54645479168072464</v>
      </c>
      <c r="J389" s="177">
        <v>7.3842592592592586</v>
      </c>
    </row>
    <row r="390" spans="1:11">
      <c r="A390" s="65">
        <v>3026</v>
      </c>
      <c r="B390" s="175">
        <v>0.83</v>
      </c>
      <c r="C390" s="184">
        <v>0.92348284960422167</v>
      </c>
      <c r="D390" s="177">
        <v>224096385.54216868</v>
      </c>
      <c r="E390" s="26"/>
      <c r="F390" s="184">
        <v>7.1666666666666634E-4</v>
      </c>
      <c r="G390" s="177">
        <v>7552048192.7710848</v>
      </c>
      <c r="H390" s="177">
        <v>13743210000</v>
      </c>
      <c r="I390" s="175">
        <v>0.54951122720027457</v>
      </c>
      <c r="J390" s="177">
        <v>10.991652323580036</v>
      </c>
    </row>
    <row r="391" spans="1:11">
      <c r="A391" s="65">
        <v>4533</v>
      </c>
      <c r="B391" s="175">
        <v>0.39</v>
      </c>
      <c r="C391" s="184">
        <v>0.52857142857142858</v>
      </c>
      <c r="D391" s="177">
        <v>156410256.41025642</v>
      </c>
      <c r="E391" s="26"/>
      <c r="F391" s="184">
        <v>0.16935833333333331</v>
      </c>
      <c r="G391" s="177">
        <v>1876923076.9230771</v>
      </c>
      <c r="H391" s="177">
        <v>3405033000</v>
      </c>
      <c r="I391" s="175">
        <v>0.55122023102950168</v>
      </c>
      <c r="J391" s="177">
        <v>14.553014553014552</v>
      </c>
    </row>
    <row r="392" spans="1:11">
      <c r="A392" s="65">
        <v>6121</v>
      </c>
      <c r="B392" s="175">
        <v>2.34</v>
      </c>
      <c r="C392" s="184">
        <v>0.68918918918918914</v>
      </c>
      <c r="D392" s="177">
        <v>308547008.54700857</v>
      </c>
      <c r="E392" s="26"/>
      <c r="F392" s="184">
        <v>1.0766666666666669E-2</v>
      </c>
      <c r="G392" s="177">
        <v>36408547008.547012</v>
      </c>
      <c r="H392" s="177">
        <v>65898099000</v>
      </c>
      <c r="I392" s="175">
        <v>0.55249768295360102</v>
      </c>
      <c r="J392" s="177">
        <v>18.292274174627117</v>
      </c>
    </row>
    <row r="393" spans="1:11">
      <c r="A393" s="65">
        <v>3536</v>
      </c>
      <c r="B393" s="175">
        <v>-0.2</v>
      </c>
      <c r="C393" s="184">
        <v>0.98275862068965514</v>
      </c>
      <c r="D393" s="177">
        <v>100000000</v>
      </c>
      <c r="E393" s="26"/>
      <c r="F393" s="184">
        <v>-2.7333333333333341E-3</v>
      </c>
      <c r="G393" s="177">
        <v>693000000</v>
      </c>
      <c r="H393" s="177">
        <v>1253791000</v>
      </c>
      <c r="I393" s="175">
        <v>0.55272369956396239</v>
      </c>
      <c r="J393" s="177">
        <v>0</v>
      </c>
      <c r="K393" s="32"/>
    </row>
    <row r="394" spans="1:11">
      <c r="A394" s="65">
        <v>3528</v>
      </c>
      <c r="B394" s="175">
        <v>0.84</v>
      </c>
      <c r="C394" s="184">
        <v>0.90384615384615385</v>
      </c>
      <c r="D394" s="177">
        <v>57142857.142857142</v>
      </c>
      <c r="E394" s="26"/>
      <c r="F394" s="184">
        <v>2.5624999999999992E-2</v>
      </c>
      <c r="G394" s="177">
        <v>1805714285.7142859</v>
      </c>
      <c r="H394" s="177">
        <v>3262486000</v>
      </c>
      <c r="I394" s="175">
        <v>0.55347801820890141</v>
      </c>
      <c r="J394" s="177">
        <v>10.405268490374873</v>
      </c>
    </row>
    <row r="395" spans="1:11">
      <c r="A395" s="65">
        <v>5603</v>
      </c>
      <c r="B395" s="175">
        <v>0.44</v>
      </c>
      <c r="C395" s="184">
        <v>0.94736842105263153</v>
      </c>
      <c r="D395" s="177">
        <v>75000000</v>
      </c>
      <c r="E395" s="26"/>
      <c r="F395" s="184">
        <v>1.0416666666666688E-3</v>
      </c>
      <c r="G395" s="177">
        <v>1173750000</v>
      </c>
      <c r="H395" s="177">
        <v>2118109000</v>
      </c>
      <c r="I395" s="175">
        <v>0.55414995167859638</v>
      </c>
      <c r="J395" s="177">
        <v>9.386047979797981</v>
      </c>
    </row>
    <row r="396" spans="1:11">
      <c r="A396" s="65">
        <v>3290</v>
      </c>
      <c r="B396" s="175">
        <v>0.51</v>
      </c>
      <c r="C396" s="184">
        <v>0</v>
      </c>
      <c r="D396" s="177">
        <v>100000000</v>
      </c>
      <c r="E396" s="26"/>
      <c r="F396" s="184">
        <v>4.4666666666666631E-3</v>
      </c>
      <c r="G396" s="177">
        <v>1625000000</v>
      </c>
      <c r="H396" s="177">
        <v>2928264000</v>
      </c>
      <c r="I396" s="175">
        <v>0.55493630355732948</v>
      </c>
      <c r="J396" s="177">
        <v>0</v>
      </c>
    </row>
    <row r="397" spans="1:11">
      <c r="A397" s="65">
        <v>6209</v>
      </c>
      <c r="B397" s="175">
        <v>0.03</v>
      </c>
      <c r="C397" s="184">
        <v>1</v>
      </c>
      <c r="D397" s="177">
        <v>133333333.33333334</v>
      </c>
      <c r="E397" s="26"/>
      <c r="F397" s="184">
        <v>2.5533333333333338E-2</v>
      </c>
      <c r="G397" s="177">
        <v>2313333333.3333335</v>
      </c>
      <c r="H397" s="177">
        <v>4158135000</v>
      </c>
      <c r="I397" s="175">
        <v>0.55633916006414741</v>
      </c>
      <c r="J397" s="177">
        <v>50</v>
      </c>
    </row>
    <row r="398" spans="1:11">
      <c r="A398" s="65">
        <v>6432</v>
      </c>
      <c r="B398" s="175">
        <v>0.59</v>
      </c>
      <c r="C398" s="184">
        <v>1</v>
      </c>
      <c r="D398" s="177">
        <v>18644067.796610169</v>
      </c>
      <c r="E398" s="26"/>
      <c r="F398" s="184">
        <v>2.450833333333333E-2</v>
      </c>
      <c r="G398" s="177">
        <v>533220338.98305088</v>
      </c>
      <c r="H398" s="177">
        <v>957567000</v>
      </c>
      <c r="I398" s="175">
        <v>0.55684911758973621</v>
      </c>
      <c r="J398" s="177">
        <v>12.118644067796611</v>
      </c>
    </row>
    <row r="399" spans="1:11">
      <c r="A399" s="65">
        <v>3071</v>
      </c>
      <c r="B399" s="175">
        <v>0.02</v>
      </c>
      <c r="C399" s="184">
        <v>1</v>
      </c>
      <c r="D399" s="177">
        <v>200000000</v>
      </c>
      <c r="E399" s="26"/>
      <c r="F399" s="184">
        <v>1.5808333333333334E-2</v>
      </c>
      <c r="G399" s="177">
        <v>1364000000</v>
      </c>
      <c r="H399" s="177">
        <v>2449104000</v>
      </c>
      <c r="I399" s="175">
        <v>0.55693837419725745</v>
      </c>
      <c r="J399" s="177">
        <v>50</v>
      </c>
    </row>
    <row r="400" spans="1:11">
      <c r="A400" s="65">
        <v>2206</v>
      </c>
      <c r="B400" s="175">
        <v>0.36</v>
      </c>
      <c r="C400" s="184">
        <v>8.9918256130790186E-2</v>
      </c>
      <c r="D400" s="177">
        <v>863888888.88888896</v>
      </c>
      <c r="E400" s="26"/>
      <c r="F400" s="184">
        <v>-3.8166666666666709E-3</v>
      </c>
      <c r="G400" s="177">
        <v>18962361111.111111</v>
      </c>
      <c r="H400" s="177">
        <v>34003129000</v>
      </c>
      <c r="I400" s="175">
        <v>0.5576651816693432</v>
      </c>
      <c r="J400" s="177">
        <v>50</v>
      </c>
    </row>
    <row r="401" spans="1:11">
      <c r="A401" s="65">
        <v>8916</v>
      </c>
      <c r="B401" s="175">
        <v>1.24</v>
      </c>
      <c r="C401" s="184">
        <v>0.68867924528301883</v>
      </c>
      <c r="D401" s="177">
        <v>104838709.67741935</v>
      </c>
      <c r="E401" s="26"/>
      <c r="F401" s="184">
        <v>3.9083333333333338E-2</v>
      </c>
      <c r="G401" s="177">
        <v>4822580645.1612902</v>
      </c>
      <c r="H401" s="177">
        <v>8640923000</v>
      </c>
      <c r="I401" s="175">
        <v>0.55810943404556324</v>
      </c>
      <c r="J401" s="177">
        <v>13.466637207247018</v>
      </c>
    </row>
    <row r="402" spans="1:11">
      <c r="A402" s="65">
        <v>2031</v>
      </c>
      <c r="B402" s="175">
        <v>-0.5</v>
      </c>
      <c r="C402" s="184">
        <v>0</v>
      </c>
      <c r="D402" s="177">
        <v>280000000</v>
      </c>
      <c r="E402" s="26"/>
      <c r="F402" s="184">
        <v>4.8216666666666651E-2</v>
      </c>
      <c r="G402" s="177">
        <v>3948000000</v>
      </c>
      <c r="H402" s="177">
        <v>7069992000</v>
      </c>
      <c r="I402" s="175">
        <v>0.55841647345569845</v>
      </c>
      <c r="J402" s="177">
        <v>0</v>
      </c>
    </row>
    <row r="403" spans="1:11">
      <c r="A403" s="65">
        <v>2461</v>
      </c>
      <c r="B403" s="175">
        <v>0.26</v>
      </c>
      <c r="C403" s="184">
        <v>1</v>
      </c>
      <c r="D403" s="177">
        <v>153846153.84615386</v>
      </c>
      <c r="E403" s="26"/>
      <c r="F403" s="184">
        <v>1.014166666666667E-2</v>
      </c>
      <c r="G403" s="177">
        <v>2253846153.8461542</v>
      </c>
      <c r="H403" s="177">
        <v>4029571000</v>
      </c>
      <c r="I403" s="175">
        <v>0.55932657691008647</v>
      </c>
      <c r="J403" s="177">
        <v>14.086538461538462</v>
      </c>
    </row>
    <row r="404" spans="1:11">
      <c r="A404" s="65">
        <v>2351</v>
      </c>
      <c r="B404" s="175">
        <v>0.66</v>
      </c>
      <c r="C404" s="184">
        <v>1</v>
      </c>
      <c r="D404" s="177">
        <v>183333333.33333331</v>
      </c>
      <c r="E404" s="26"/>
      <c r="F404" s="184">
        <v>-1.4616666666666667E-2</v>
      </c>
      <c r="G404" s="177">
        <v>5133333333.333333</v>
      </c>
      <c r="H404" s="177">
        <v>9127535000</v>
      </c>
      <c r="I404" s="175">
        <v>0.56240083805028773</v>
      </c>
      <c r="J404" s="177">
        <v>10.606060606060606</v>
      </c>
    </row>
    <row r="405" spans="1:11">
      <c r="A405" s="65">
        <v>6282</v>
      </c>
      <c r="B405" s="175">
        <v>0.2</v>
      </c>
      <c r="C405" s="184">
        <v>0.7544642857142857</v>
      </c>
      <c r="D405" s="177">
        <v>520000000</v>
      </c>
      <c r="E405" s="26"/>
      <c r="F405" s="184">
        <v>1.8416666666666668E-3</v>
      </c>
      <c r="G405" s="177">
        <v>12142000000</v>
      </c>
      <c r="H405" s="177">
        <v>21483215000</v>
      </c>
      <c r="I405" s="175">
        <v>0.56518542499341928</v>
      </c>
      <c r="J405" s="177">
        <v>38.68639053254438</v>
      </c>
    </row>
    <row r="406" spans="1:11">
      <c r="A406" s="65">
        <v>6274</v>
      </c>
      <c r="B406" s="175">
        <v>0.92</v>
      </c>
      <c r="C406" s="184">
        <v>0.80113636363636365</v>
      </c>
      <c r="D406" s="177">
        <v>241304347.82608694</v>
      </c>
      <c r="E406" s="26"/>
      <c r="F406" s="184">
        <v>-5.8166666666666653E-3</v>
      </c>
      <c r="G406" s="177">
        <v>7347717391.304347</v>
      </c>
      <c r="H406" s="177">
        <v>12994730000</v>
      </c>
      <c r="I406" s="175">
        <v>0.56543825006786186</v>
      </c>
      <c r="J406" s="177">
        <v>10.328399629972248</v>
      </c>
    </row>
    <row r="407" spans="1:11">
      <c r="A407" s="65">
        <v>6259</v>
      </c>
      <c r="B407" s="175">
        <v>-0.71</v>
      </c>
      <c r="C407" s="184">
        <v>0.78947368421052633</v>
      </c>
      <c r="D407" s="177">
        <v>71830985.915492967</v>
      </c>
      <c r="E407" s="26"/>
      <c r="F407" s="184">
        <v>1.4683333333333331E-2</v>
      </c>
      <c r="G407" s="177">
        <v>757816901.40845084</v>
      </c>
      <c r="H407" s="177">
        <v>1338740000</v>
      </c>
      <c r="I407" s="175">
        <v>0.56606727326325568</v>
      </c>
      <c r="J407" s="177">
        <v>0</v>
      </c>
    </row>
    <row r="408" spans="1:11">
      <c r="A408" s="65">
        <v>2006</v>
      </c>
      <c r="B408" s="175">
        <v>0.36</v>
      </c>
      <c r="C408" s="184">
        <v>0.82460732984293195</v>
      </c>
      <c r="D408" s="177">
        <v>1005555555.5555556</v>
      </c>
      <c r="E408" s="26"/>
      <c r="F408" s="184">
        <v>7.4083333333333353E-3</v>
      </c>
      <c r="G408" s="177">
        <v>18250833333.333332</v>
      </c>
      <c r="H408" s="177">
        <v>32210252000</v>
      </c>
      <c r="I408" s="175">
        <v>0.56661566427152854</v>
      </c>
      <c r="J408" s="177">
        <v>15.28505291005291</v>
      </c>
    </row>
    <row r="409" spans="1:11">
      <c r="A409" s="65">
        <v>1806</v>
      </c>
      <c r="B409" s="175">
        <v>-0.02</v>
      </c>
      <c r="C409" s="184">
        <v>0.10576923076923077</v>
      </c>
      <c r="D409" s="177">
        <v>500000000</v>
      </c>
      <c r="E409" s="26"/>
      <c r="F409" s="184">
        <v>5.9241666666666665E-2</v>
      </c>
      <c r="G409" s="177">
        <v>3595000000</v>
      </c>
      <c r="H409" s="177">
        <v>6342974000</v>
      </c>
      <c r="I409" s="175">
        <v>0.56676883745700357</v>
      </c>
      <c r="J409" s="177">
        <v>0</v>
      </c>
    </row>
    <row r="410" spans="1:11">
      <c r="A410" s="65">
        <v>9955</v>
      </c>
      <c r="B410" s="175">
        <v>-0.35</v>
      </c>
      <c r="C410" s="184">
        <v>0.55555555555555558</v>
      </c>
      <c r="D410" s="177">
        <v>102857142.85714287</v>
      </c>
      <c r="E410" s="26"/>
      <c r="F410" s="184">
        <v>0.18475833333333333</v>
      </c>
      <c r="G410" s="177">
        <v>1553142857.1428573</v>
      </c>
      <c r="H410" s="177">
        <v>2739421000</v>
      </c>
      <c r="I410" s="175">
        <v>0.56696026537828881</v>
      </c>
      <c r="J410" s="177">
        <v>0</v>
      </c>
    </row>
    <row r="411" spans="1:11">
      <c r="A411" s="65">
        <v>9919</v>
      </c>
      <c r="B411" s="175">
        <v>7.0000000000000007E-2</v>
      </c>
      <c r="C411" s="184">
        <v>1</v>
      </c>
      <c r="D411" s="177">
        <v>199999999.99999997</v>
      </c>
      <c r="E411" s="26"/>
      <c r="F411" s="184">
        <v>7.5666666666666703E-3</v>
      </c>
      <c r="G411" s="177">
        <v>2429999999.9999995</v>
      </c>
      <c r="H411" s="177">
        <v>4276471000</v>
      </c>
      <c r="I411" s="175">
        <v>0.56822552988199837</v>
      </c>
      <c r="J411" s="177">
        <v>43.392857142857139</v>
      </c>
    </row>
    <row r="412" spans="1:11">
      <c r="A412" s="65">
        <v>5465</v>
      </c>
      <c r="B412" s="175">
        <v>7.0000000000000007E-2</v>
      </c>
      <c r="C412" s="184">
        <v>0.34210526315789475</v>
      </c>
      <c r="D412" s="177">
        <v>142857142.85714284</v>
      </c>
      <c r="E412" s="26"/>
      <c r="F412" s="184">
        <v>1.8499999999999986E-3</v>
      </c>
      <c r="G412" s="177">
        <v>1499999999.9999998</v>
      </c>
      <c r="H412" s="177">
        <v>2630857000</v>
      </c>
      <c r="I412" s="175">
        <v>0.57015641671136053</v>
      </c>
      <c r="J412" s="177">
        <v>50</v>
      </c>
    </row>
    <row r="413" spans="1:11">
      <c r="A413" s="65">
        <v>3038</v>
      </c>
      <c r="B413" s="175">
        <v>0.2</v>
      </c>
      <c r="C413" s="184">
        <v>1</v>
      </c>
      <c r="D413" s="177">
        <v>215000000</v>
      </c>
      <c r="E413" s="26"/>
      <c r="F413" s="184">
        <v>1.5833333333333348E-3</v>
      </c>
      <c r="G413" s="177">
        <v>1995199999.9999998</v>
      </c>
      <c r="H413" s="177">
        <v>3487527000</v>
      </c>
      <c r="I413" s="175">
        <v>0.57209592929316377</v>
      </c>
      <c r="J413" s="177">
        <v>11.599999999999998</v>
      </c>
    </row>
    <row r="414" spans="1:11">
      <c r="A414" s="65">
        <v>8249</v>
      </c>
      <c r="B414" s="175">
        <v>0.66</v>
      </c>
      <c r="C414" s="184">
        <v>0.81333333333333335</v>
      </c>
      <c r="D414" s="177">
        <v>127272727.27272727</v>
      </c>
      <c r="E414" s="26"/>
      <c r="F414" s="184">
        <v>4.085833333333333E-2</v>
      </c>
      <c r="G414" s="177">
        <v>2959090909.090909</v>
      </c>
      <c r="H414" s="177">
        <v>5163601000</v>
      </c>
      <c r="I414" s="175">
        <v>0.57306730498559222</v>
      </c>
      <c r="J414" s="177">
        <v>10.82805514157973</v>
      </c>
    </row>
    <row r="415" spans="1:11">
      <c r="A415" s="65">
        <v>5478</v>
      </c>
      <c r="B415" s="175">
        <v>0.28999999999999998</v>
      </c>
      <c r="C415" s="184">
        <v>0.875</v>
      </c>
      <c r="D415" s="177">
        <v>131034482.75862069</v>
      </c>
      <c r="E415" s="26"/>
      <c r="F415" s="184">
        <v>1.1241666666666665E-2</v>
      </c>
      <c r="G415" s="177">
        <v>8491034482.7586203</v>
      </c>
      <c r="H415" s="177">
        <v>14802078000</v>
      </c>
      <c r="I415" s="175">
        <v>0.5736380042557957</v>
      </c>
      <c r="J415" s="177">
        <v>50</v>
      </c>
      <c r="K415" s="32"/>
    </row>
    <row r="416" spans="1:11">
      <c r="A416" s="65">
        <v>1310</v>
      </c>
      <c r="B416" s="175">
        <v>0.96</v>
      </c>
      <c r="C416" s="184">
        <v>1</v>
      </c>
      <c r="D416" s="177">
        <v>528125000</v>
      </c>
      <c r="E416" s="26"/>
      <c r="F416" s="184">
        <v>6.2016666666666685E-2</v>
      </c>
      <c r="G416" s="177">
        <v>7393750000</v>
      </c>
      <c r="H416" s="177">
        <v>12871099000</v>
      </c>
      <c r="I416" s="175">
        <v>0.57444589618959496</v>
      </c>
      <c r="J416" s="177">
        <v>3.6458333333333335</v>
      </c>
    </row>
    <row r="417" spans="1:10">
      <c r="A417" s="65">
        <v>5523</v>
      </c>
      <c r="B417" s="175">
        <v>-0.21</v>
      </c>
      <c r="C417" s="184">
        <v>0.8571428571428571</v>
      </c>
      <c r="D417" s="177">
        <v>114285714.28571428</v>
      </c>
      <c r="E417" s="26"/>
      <c r="F417" s="184">
        <v>154.95595833333331</v>
      </c>
      <c r="G417" s="177">
        <v>940571428.57142866</v>
      </c>
      <c r="H417" s="177">
        <v>1635605000</v>
      </c>
      <c r="I417" s="175">
        <v>0.57506025511748171</v>
      </c>
      <c r="J417" s="177">
        <v>0</v>
      </c>
    </row>
    <row r="418" spans="1:10">
      <c r="A418" s="65">
        <v>2323</v>
      </c>
      <c r="B418" s="175">
        <v>-0.16</v>
      </c>
      <c r="C418" s="184">
        <v>0.96717171717171713</v>
      </c>
      <c r="D418" s="177">
        <v>2118750000</v>
      </c>
      <c r="E418" s="26"/>
      <c r="F418" s="184">
        <v>-2.0691666666666671E-2</v>
      </c>
      <c r="G418" s="177">
        <v>8241937500</v>
      </c>
      <c r="H418" s="177">
        <v>14319174000</v>
      </c>
      <c r="I418" s="175">
        <v>0.57558749547983701</v>
      </c>
      <c r="J418" s="177">
        <v>0</v>
      </c>
    </row>
    <row r="419" spans="1:10">
      <c r="A419" s="65">
        <v>8027</v>
      </c>
      <c r="B419" s="175">
        <v>-0.14000000000000001</v>
      </c>
      <c r="C419" s="184">
        <v>1</v>
      </c>
      <c r="D419" s="177">
        <v>49999999.999999993</v>
      </c>
      <c r="E419" s="26"/>
      <c r="F419" s="184">
        <v>-6.7416666666666666E-3</v>
      </c>
      <c r="G419" s="177">
        <v>1009999999.9999998</v>
      </c>
      <c r="H419" s="177">
        <v>1753480000</v>
      </c>
      <c r="I419" s="175">
        <v>0.57599744508063955</v>
      </c>
      <c r="J419" s="177">
        <v>0</v>
      </c>
    </row>
    <row r="420" spans="1:10">
      <c r="A420" s="65">
        <v>2359</v>
      </c>
      <c r="B420" s="175">
        <v>0.1</v>
      </c>
      <c r="C420" s="184">
        <v>1</v>
      </c>
      <c r="D420" s="177">
        <v>180000000</v>
      </c>
      <c r="E420" s="26"/>
      <c r="F420" s="184">
        <v>-3.7741666666666673E-2</v>
      </c>
      <c r="G420" s="177">
        <v>2736000000</v>
      </c>
      <c r="H420" s="177">
        <v>4739166000</v>
      </c>
      <c r="I420" s="175">
        <v>0.57731676839342616</v>
      </c>
      <c r="J420" s="177">
        <v>37.999999999999993</v>
      </c>
    </row>
    <row r="421" spans="1:10">
      <c r="A421" s="65">
        <v>3581</v>
      </c>
      <c r="B421" s="175">
        <v>0.03</v>
      </c>
      <c r="C421" s="184">
        <v>1</v>
      </c>
      <c r="D421" s="177">
        <v>33333333.333333336</v>
      </c>
      <c r="E421" s="26"/>
      <c r="F421" s="184">
        <v>3.6858333333333347E-2</v>
      </c>
      <c r="G421" s="177">
        <v>508333333.33333337</v>
      </c>
      <c r="H421" s="177">
        <v>877596000</v>
      </c>
      <c r="I421" s="175">
        <v>0.5792338767876487</v>
      </c>
      <c r="J421" s="177">
        <v>50</v>
      </c>
    </row>
    <row r="422" spans="1:10">
      <c r="A422" s="65">
        <v>1905</v>
      </c>
      <c r="B422" s="175">
        <v>0.13</v>
      </c>
      <c r="C422" s="184">
        <v>1</v>
      </c>
      <c r="D422" s="177">
        <v>1230769230.7692308</v>
      </c>
      <c r="E422" s="26"/>
      <c r="F422" s="184">
        <v>1.5433333333333335E-2</v>
      </c>
      <c r="G422" s="177">
        <v>12295384615.384617</v>
      </c>
      <c r="H422" s="177">
        <v>21179488000</v>
      </c>
      <c r="I422" s="175">
        <v>0.58053266516096225</v>
      </c>
      <c r="J422" s="177">
        <v>19.21153846153846</v>
      </c>
    </row>
    <row r="423" spans="1:10">
      <c r="A423" s="65">
        <v>9927</v>
      </c>
      <c r="B423" s="175">
        <v>0.79</v>
      </c>
      <c r="C423" s="184">
        <v>1</v>
      </c>
      <c r="D423" s="177">
        <v>210126582.27848101</v>
      </c>
      <c r="E423" s="26"/>
      <c r="F423" s="184">
        <v>-2.7833333333333299E-3</v>
      </c>
      <c r="G423" s="177">
        <v>6345822784.8101263</v>
      </c>
      <c r="H423" s="177">
        <v>10901964000</v>
      </c>
      <c r="I423" s="175">
        <v>0.58208069525914108</v>
      </c>
      <c r="J423" s="177">
        <v>9.5569620253164551</v>
      </c>
    </row>
    <row r="424" spans="1:10">
      <c r="A424" s="65">
        <v>3305</v>
      </c>
      <c r="B424" s="175">
        <v>0.15</v>
      </c>
      <c r="C424" s="184">
        <v>1</v>
      </c>
      <c r="D424" s="177">
        <v>120000000</v>
      </c>
      <c r="E424" s="26"/>
      <c r="F424" s="184">
        <v>-1.9041666666666665E-2</v>
      </c>
      <c r="G424" s="177">
        <v>2898000000</v>
      </c>
      <c r="H424" s="177">
        <v>4956411000</v>
      </c>
      <c r="I424" s="175">
        <v>0.58469727389435622</v>
      </c>
      <c r="J424" s="177">
        <v>40.25</v>
      </c>
    </row>
    <row r="425" spans="1:10">
      <c r="A425" s="65">
        <v>3553</v>
      </c>
      <c r="B425" s="175">
        <v>0.01</v>
      </c>
      <c r="C425" s="184">
        <v>1</v>
      </c>
      <c r="D425" s="177">
        <v>100000000</v>
      </c>
      <c r="E425" s="26"/>
      <c r="F425" s="184">
        <v>-2.1133333333333334E-2</v>
      </c>
      <c r="G425" s="177">
        <v>1550000000</v>
      </c>
      <c r="H425" s="177">
        <v>2625863000</v>
      </c>
      <c r="I425" s="175">
        <v>0.59028212819937675</v>
      </c>
      <c r="J425" s="177">
        <v>50</v>
      </c>
    </row>
    <row r="426" spans="1:10">
      <c r="A426" s="65">
        <v>3632</v>
      </c>
      <c r="B426" s="175">
        <v>0.24</v>
      </c>
      <c r="C426" s="184">
        <v>1</v>
      </c>
      <c r="D426" s="177">
        <v>29166666.666666668</v>
      </c>
      <c r="E426" s="26"/>
      <c r="F426" s="184">
        <v>7.8233333333333335E-2</v>
      </c>
      <c r="G426" s="177">
        <v>848750000.00000012</v>
      </c>
      <c r="H426" s="177">
        <v>1432116000</v>
      </c>
      <c r="I426" s="175">
        <v>0.59265450564060462</v>
      </c>
      <c r="J426" s="177">
        <v>30.312500000000004</v>
      </c>
    </row>
    <row r="427" spans="1:10">
      <c r="A427" s="65">
        <v>1465</v>
      </c>
      <c r="B427" s="175">
        <v>0.12</v>
      </c>
      <c r="C427" s="184">
        <v>0.6470588235294118</v>
      </c>
      <c r="D427" s="177">
        <v>108333333.33333334</v>
      </c>
      <c r="E427" s="26"/>
      <c r="F427" s="184">
        <v>2.914166666666668E-2</v>
      </c>
      <c r="G427" s="177">
        <v>1484166666.6666667</v>
      </c>
      <c r="H427" s="177">
        <v>2501017000</v>
      </c>
      <c r="I427" s="175">
        <v>0.59342526127038187</v>
      </c>
      <c r="J427" s="177">
        <v>44.109848484848477</v>
      </c>
    </row>
    <row r="428" spans="1:10">
      <c r="A428" s="65">
        <v>3441</v>
      </c>
      <c r="B428" s="175">
        <v>-0.51</v>
      </c>
      <c r="C428" s="184">
        <v>1</v>
      </c>
      <c r="D428" s="177">
        <v>39215686.274509802</v>
      </c>
      <c r="E428" s="26"/>
      <c r="F428" s="184">
        <v>4.4999999999999978E-2</v>
      </c>
      <c r="G428" s="177">
        <v>458823529.41176468</v>
      </c>
      <c r="H428" s="177">
        <v>770554000</v>
      </c>
      <c r="I428" s="175">
        <v>0.59544630150744093</v>
      </c>
      <c r="J428" s="177">
        <v>0</v>
      </c>
    </row>
    <row r="429" spans="1:10">
      <c r="A429" s="65">
        <v>1515</v>
      </c>
      <c r="B429" s="175">
        <v>-0.06</v>
      </c>
      <c r="C429" s="184">
        <v>0.5</v>
      </c>
      <c r="D429" s="177">
        <v>183333333.33333334</v>
      </c>
      <c r="E429" s="26"/>
      <c r="F429" s="184">
        <v>2.4824999999999996E-2</v>
      </c>
      <c r="G429" s="177">
        <v>2190833333.3333335</v>
      </c>
      <c r="H429" s="177">
        <v>3677780000</v>
      </c>
      <c r="I429" s="175">
        <v>0.59569450411208213</v>
      </c>
      <c r="J429" s="177">
        <v>0</v>
      </c>
    </row>
    <row r="430" spans="1:10">
      <c r="A430" s="65">
        <v>1532</v>
      </c>
      <c r="B430" s="175">
        <v>0.38</v>
      </c>
      <c r="C430" s="184">
        <v>0.97089947089947093</v>
      </c>
      <c r="D430" s="177">
        <v>389473684.21052629</v>
      </c>
      <c r="E430" s="26"/>
      <c r="F430" s="184">
        <v>0.16717499999999999</v>
      </c>
      <c r="G430" s="177">
        <v>11138947368.421053</v>
      </c>
      <c r="H430" s="177">
        <v>18682760000</v>
      </c>
      <c r="I430" s="175">
        <v>0.59621530054558602</v>
      </c>
      <c r="J430" s="177">
        <v>19.379750466083465</v>
      </c>
    </row>
    <row r="431" spans="1:10">
      <c r="A431" s="65">
        <v>5701</v>
      </c>
      <c r="B431" s="175">
        <v>-0.35</v>
      </c>
      <c r="C431" s="184">
        <v>0.88235294117647056</v>
      </c>
      <c r="D431" s="177">
        <v>248571428.5714286</v>
      </c>
      <c r="E431" s="26"/>
      <c r="F431" s="184">
        <v>1.2583333333333335E-2</v>
      </c>
      <c r="G431" s="177">
        <v>919714285.71428585</v>
      </c>
      <c r="H431" s="177">
        <v>1541064000</v>
      </c>
      <c r="I431" s="175">
        <v>0.59680473083161101</v>
      </c>
      <c r="J431" s="177">
        <v>0</v>
      </c>
    </row>
    <row r="432" spans="1:10">
      <c r="A432" s="65">
        <v>2342</v>
      </c>
      <c r="B432" s="175">
        <v>-1.05</v>
      </c>
      <c r="C432" s="184">
        <v>0.43125734430082258</v>
      </c>
      <c r="D432" s="177">
        <v>373333333.33333331</v>
      </c>
      <c r="E432" s="26"/>
      <c r="F432" s="184">
        <v>1.1125000000000001E-2</v>
      </c>
      <c r="G432" s="177">
        <v>840000000</v>
      </c>
      <c r="H432" s="177">
        <v>1406059000</v>
      </c>
      <c r="I432" s="175">
        <v>0.59741447549498283</v>
      </c>
      <c r="J432" s="177">
        <v>0</v>
      </c>
    </row>
    <row r="433" spans="1:10">
      <c r="A433" s="65">
        <v>3431</v>
      </c>
      <c r="B433" s="175">
        <v>-0.48</v>
      </c>
      <c r="C433" s="184">
        <v>1</v>
      </c>
      <c r="D433" s="177">
        <v>35416666.666666672</v>
      </c>
      <c r="E433" s="26"/>
      <c r="F433" s="184">
        <v>2.0150000000000001E-2</v>
      </c>
      <c r="G433" s="177">
        <v>355937500.00000006</v>
      </c>
      <c r="H433" s="177">
        <v>593011000</v>
      </c>
      <c r="I433" s="175">
        <v>0.60022073789524999</v>
      </c>
      <c r="J433" s="177">
        <v>0</v>
      </c>
    </row>
    <row r="434" spans="1:10">
      <c r="A434" s="65">
        <v>3284</v>
      </c>
      <c r="B434" s="175">
        <v>-0.05</v>
      </c>
      <c r="C434" s="184">
        <v>0.25</v>
      </c>
      <c r="D434" s="177">
        <v>60000000</v>
      </c>
      <c r="E434" s="26"/>
      <c r="F434" s="184">
        <v>2.1250000000000006E-3</v>
      </c>
      <c r="G434" s="177">
        <v>567600000</v>
      </c>
      <c r="H434" s="177">
        <v>945234000</v>
      </c>
      <c r="I434" s="175">
        <v>0.60048622880683511</v>
      </c>
      <c r="J434" s="177">
        <v>0</v>
      </c>
    </row>
    <row r="435" spans="1:10">
      <c r="A435" s="65">
        <v>5521</v>
      </c>
      <c r="B435" s="175">
        <v>0.17</v>
      </c>
      <c r="C435" s="184">
        <v>1</v>
      </c>
      <c r="D435" s="177">
        <v>352941176.47058821</v>
      </c>
      <c r="E435" s="26"/>
      <c r="F435" s="184">
        <v>3.8200000000000005E-2</v>
      </c>
      <c r="G435" s="177">
        <v>4111764705.8823528</v>
      </c>
      <c r="H435" s="177">
        <v>6798145000</v>
      </c>
      <c r="I435" s="175">
        <v>0.60483627605506396</v>
      </c>
      <c r="J435" s="177">
        <v>17.132352941176471</v>
      </c>
    </row>
    <row r="436" spans="1:10">
      <c r="A436" s="65">
        <v>2415</v>
      </c>
      <c r="B436" s="175">
        <v>0.22</v>
      </c>
      <c r="C436" s="184">
        <v>1</v>
      </c>
      <c r="D436" s="177">
        <v>90909090.909090906</v>
      </c>
      <c r="E436" s="26"/>
      <c r="F436" s="184">
        <v>1.3675000000000001E-2</v>
      </c>
      <c r="G436" s="177">
        <v>1286363636.3636363</v>
      </c>
      <c r="H436" s="177">
        <v>2126222000</v>
      </c>
      <c r="I436" s="175">
        <v>0.60499968317684427</v>
      </c>
      <c r="J436" s="177">
        <v>16.079545454545453</v>
      </c>
    </row>
    <row r="437" spans="1:10">
      <c r="A437" s="65">
        <v>3051</v>
      </c>
      <c r="B437" s="175">
        <v>0.08</v>
      </c>
      <c r="C437" s="184">
        <v>1</v>
      </c>
      <c r="D437" s="177">
        <v>300000000</v>
      </c>
      <c r="E437" s="26"/>
      <c r="F437" s="184">
        <v>-2.8500000000000005E-3</v>
      </c>
      <c r="G437" s="177">
        <v>2496000000</v>
      </c>
      <c r="H437" s="177">
        <v>4105489000</v>
      </c>
      <c r="I437" s="175">
        <v>0.60796655404508448</v>
      </c>
      <c r="J437" s="177">
        <v>26</v>
      </c>
    </row>
    <row r="438" spans="1:10">
      <c r="A438" s="65">
        <v>3268</v>
      </c>
      <c r="B438" s="175">
        <v>-0.54</v>
      </c>
      <c r="C438" s="184">
        <v>0.76923076923076927</v>
      </c>
      <c r="D438" s="177">
        <v>31481481.481481478</v>
      </c>
      <c r="E438" s="26"/>
      <c r="F438" s="184">
        <v>0.10871666666666664</v>
      </c>
      <c r="G438" s="177">
        <v>478518518.51851845</v>
      </c>
      <c r="H438" s="177">
        <v>785871000</v>
      </c>
      <c r="I438" s="175">
        <v>0.60890212072785288</v>
      </c>
      <c r="J438" s="177">
        <v>0</v>
      </c>
    </row>
    <row r="439" spans="1:10">
      <c r="A439" s="65">
        <v>4927</v>
      </c>
      <c r="B439" s="175">
        <v>0.63</v>
      </c>
      <c r="C439" s="184">
        <v>1</v>
      </c>
      <c r="D439" s="177">
        <v>123809523.80952381</v>
      </c>
      <c r="E439" s="26"/>
      <c r="F439" s="184">
        <v>3.0258333333333328E-2</v>
      </c>
      <c r="G439" s="177">
        <v>5224761904.7619047</v>
      </c>
      <c r="H439" s="177">
        <v>8556645000</v>
      </c>
      <c r="I439" s="175">
        <v>0.61060870291590974</v>
      </c>
      <c r="J439" s="177">
        <v>16.746031746031747</v>
      </c>
    </row>
    <row r="440" spans="1:10">
      <c r="A440" s="65">
        <v>3052</v>
      </c>
      <c r="B440" s="175">
        <v>0.25</v>
      </c>
      <c r="C440" s="184">
        <v>0.967741935483871</v>
      </c>
      <c r="D440" s="177">
        <v>200000000</v>
      </c>
      <c r="E440" s="26"/>
      <c r="F440" s="184">
        <v>0.21277500000000002</v>
      </c>
      <c r="G440" s="177">
        <v>1902000000</v>
      </c>
      <c r="H440" s="177">
        <v>3098587000</v>
      </c>
      <c r="I440" s="175">
        <v>0.6138281739386372</v>
      </c>
      <c r="J440" s="177">
        <v>9.827</v>
      </c>
    </row>
    <row r="441" spans="1:10">
      <c r="A441" s="65">
        <v>3444</v>
      </c>
      <c r="B441" s="175">
        <v>0.19</v>
      </c>
      <c r="C441" s="184">
        <v>0.75</v>
      </c>
      <c r="D441" s="177">
        <v>36842105.263157897</v>
      </c>
      <c r="E441" s="26"/>
      <c r="F441" s="184">
        <v>-2.1466666666666662E-2</v>
      </c>
      <c r="G441" s="177">
        <v>617105263.15789473</v>
      </c>
      <c r="H441" s="177">
        <v>1004361000</v>
      </c>
      <c r="I441" s="175">
        <v>0.61442575245145392</v>
      </c>
      <c r="J441" s="177">
        <v>29.385964912280699</v>
      </c>
    </row>
    <row r="442" spans="1:10">
      <c r="A442" s="65">
        <v>3059</v>
      </c>
      <c r="B442" s="175">
        <v>0.15</v>
      </c>
      <c r="C442" s="184">
        <v>0.2558139534883721</v>
      </c>
      <c r="D442" s="177">
        <v>273333333.33333337</v>
      </c>
      <c r="E442" s="26"/>
      <c r="F442" s="184">
        <v>2.6191666666666665E-2</v>
      </c>
      <c r="G442" s="177">
        <v>7858333333.3333349</v>
      </c>
      <c r="H442" s="177">
        <v>12785213000</v>
      </c>
      <c r="I442" s="175">
        <v>0.61464234763498538</v>
      </c>
      <c r="J442" s="177">
        <v>50</v>
      </c>
    </row>
    <row r="443" spans="1:10">
      <c r="A443" s="65">
        <v>3437</v>
      </c>
      <c r="B443" s="175">
        <v>0.28999999999999998</v>
      </c>
      <c r="C443" s="184">
        <v>0.95</v>
      </c>
      <c r="D443" s="177">
        <v>148275862.06896552</v>
      </c>
      <c r="E443" s="26"/>
      <c r="F443" s="184">
        <v>-1.1558333333333335E-2</v>
      </c>
      <c r="G443" s="177">
        <v>4070172413.7931037</v>
      </c>
      <c r="H443" s="177">
        <v>6594865000</v>
      </c>
      <c r="I443" s="175">
        <v>0.61717296924093268</v>
      </c>
      <c r="J443" s="177">
        <v>24.909255898366609</v>
      </c>
    </row>
    <row r="444" spans="1:10">
      <c r="A444" s="65">
        <v>5515</v>
      </c>
      <c r="B444" s="175">
        <v>0.1</v>
      </c>
      <c r="C444" s="184">
        <v>1</v>
      </c>
      <c r="D444" s="177">
        <v>340000000</v>
      </c>
      <c r="E444" s="26"/>
      <c r="F444" s="184">
        <v>1.0616666666666668E-2</v>
      </c>
      <c r="G444" s="177">
        <v>3366000000</v>
      </c>
      <c r="H444" s="177">
        <v>5453154000</v>
      </c>
      <c r="I444" s="175">
        <v>0.61725746237865275</v>
      </c>
      <c r="J444" s="177">
        <v>24.75</v>
      </c>
    </row>
    <row r="445" spans="1:10">
      <c r="A445" s="65">
        <v>2385</v>
      </c>
      <c r="B445" s="175">
        <v>1.57</v>
      </c>
      <c r="C445" s="184">
        <v>0.67501527183872934</v>
      </c>
      <c r="D445" s="177">
        <v>659235668.78980887</v>
      </c>
      <c r="E445" s="26"/>
      <c r="F445" s="184">
        <v>3.1750000000000003E-3</v>
      </c>
      <c r="G445" s="177">
        <v>51156687898.089165</v>
      </c>
      <c r="H445" s="177">
        <v>82836161000</v>
      </c>
      <c r="I445" s="175">
        <v>0.61756468769827666</v>
      </c>
      <c r="J445" s="177">
        <v>18.305790125947489</v>
      </c>
    </row>
    <row r="446" spans="1:10">
      <c r="A446" s="65">
        <v>3557</v>
      </c>
      <c r="B446" s="175">
        <v>-0.19</v>
      </c>
      <c r="C446" s="184">
        <v>0.82352941176470584</v>
      </c>
      <c r="D446" s="177">
        <v>110526315.78947368</v>
      </c>
      <c r="E446" s="26"/>
      <c r="F446" s="184">
        <v>-1.7933333333333339E-2</v>
      </c>
      <c r="G446" s="177">
        <v>486315789.47368425</v>
      </c>
      <c r="H446" s="177">
        <v>785897000</v>
      </c>
      <c r="I446" s="175">
        <v>0.61880346848719903</v>
      </c>
      <c r="J446" s="177">
        <v>0</v>
      </c>
    </row>
    <row r="447" spans="1:10">
      <c r="A447" s="65">
        <v>6117</v>
      </c>
      <c r="B447" s="175">
        <v>-0.84</v>
      </c>
      <c r="C447" s="184">
        <v>0.97637795275590555</v>
      </c>
      <c r="D447" s="177">
        <v>88095238.095238104</v>
      </c>
      <c r="E447" s="26"/>
      <c r="F447" s="184">
        <v>1.8283333333333332E-2</v>
      </c>
      <c r="G447" s="177">
        <v>1268571428.5714288</v>
      </c>
      <c r="H447" s="177">
        <v>2045232000</v>
      </c>
      <c r="I447" s="175">
        <v>0.62025796025655222</v>
      </c>
      <c r="J447" s="177">
        <v>0</v>
      </c>
    </row>
    <row r="448" spans="1:10">
      <c r="A448" s="65">
        <v>2109</v>
      </c>
      <c r="B448" s="175">
        <v>0.12</v>
      </c>
      <c r="C448" s="184">
        <v>1</v>
      </c>
      <c r="D448" s="177">
        <v>333333333.33333337</v>
      </c>
      <c r="E448" s="26"/>
      <c r="F448" s="184">
        <v>-7.2083333333333314E-3</v>
      </c>
      <c r="G448" s="177">
        <v>4233333333.3333335</v>
      </c>
      <c r="H448" s="177">
        <v>6796171000</v>
      </c>
      <c r="I448" s="175">
        <v>0.62289976713848627</v>
      </c>
      <c r="J448" s="177">
        <v>26.458333333333332</v>
      </c>
    </row>
    <row r="449" spans="1:11">
      <c r="A449" s="65">
        <v>2314</v>
      </c>
      <c r="B449" s="175">
        <v>-0.32</v>
      </c>
      <c r="C449" s="184">
        <v>1</v>
      </c>
      <c r="D449" s="177">
        <v>406250000</v>
      </c>
      <c r="E449" s="26"/>
      <c r="F449" s="184">
        <v>8.5583333333333275E-3</v>
      </c>
      <c r="G449" s="177">
        <v>3761875000</v>
      </c>
      <c r="H449" s="177">
        <v>6018047000</v>
      </c>
      <c r="I449" s="175">
        <v>0.62509897313862783</v>
      </c>
      <c r="J449" s="177">
        <v>0</v>
      </c>
    </row>
    <row r="450" spans="1:11">
      <c r="A450" s="65">
        <v>1454</v>
      </c>
      <c r="B450" s="175">
        <v>0.28999999999999998</v>
      </c>
      <c r="C450" s="184">
        <v>0.96875</v>
      </c>
      <c r="D450" s="177">
        <v>131034482.75862069</v>
      </c>
      <c r="E450" s="26"/>
      <c r="F450" s="184">
        <v>1.3233333333333333E-2</v>
      </c>
      <c r="G450" s="177">
        <v>1343103448.2758622</v>
      </c>
      <c r="H450" s="177">
        <v>2143334000</v>
      </c>
      <c r="I450" s="175">
        <v>0.62664216042663545</v>
      </c>
      <c r="J450" s="177">
        <v>9.1212458286985534</v>
      </c>
    </row>
    <row r="451" spans="1:11">
      <c r="A451" s="65">
        <v>6283</v>
      </c>
      <c r="B451" s="175">
        <v>0.04</v>
      </c>
      <c r="C451" s="184">
        <v>0</v>
      </c>
      <c r="D451" s="177">
        <v>125000000</v>
      </c>
      <c r="E451" s="26"/>
      <c r="F451" s="184">
        <v>1.5016666666666659E-2</v>
      </c>
      <c r="G451" s="177">
        <v>610000000</v>
      </c>
      <c r="H451" s="177">
        <v>971826000</v>
      </c>
      <c r="I451" s="175">
        <v>0.62768437971406399</v>
      </c>
      <c r="J451" s="177">
        <v>0</v>
      </c>
      <c r="K451" s="32"/>
    </row>
    <row r="452" spans="1:11">
      <c r="A452" s="65">
        <v>1417</v>
      </c>
      <c r="B452" s="175">
        <v>-0.24</v>
      </c>
      <c r="C452" s="184">
        <v>1</v>
      </c>
      <c r="D452" s="177">
        <v>375000000</v>
      </c>
      <c r="E452" s="26"/>
      <c r="F452" s="184">
        <v>2.6249999999999999E-2</v>
      </c>
      <c r="G452" s="177">
        <v>2216250000</v>
      </c>
      <c r="H452" s="177">
        <v>3529585000</v>
      </c>
      <c r="I452" s="175">
        <v>0.62790668024711116</v>
      </c>
      <c r="J452" s="177">
        <v>0</v>
      </c>
    </row>
    <row r="453" spans="1:11">
      <c r="A453" s="65">
        <v>3514</v>
      </c>
      <c r="B453" s="175">
        <v>-0.82</v>
      </c>
      <c r="C453" s="184">
        <v>0.78343949044585992</v>
      </c>
      <c r="D453" s="177">
        <v>404878048.78048784</v>
      </c>
      <c r="E453" s="26"/>
      <c r="F453" s="184">
        <v>6.8491666666666659E-2</v>
      </c>
      <c r="G453" s="177">
        <v>9939756097.560976</v>
      </c>
      <c r="H453" s="177">
        <v>15821875000</v>
      </c>
      <c r="I453" s="175">
        <v>0.6282287085165934</v>
      </c>
      <c r="J453" s="177">
        <v>0</v>
      </c>
    </row>
    <row r="454" spans="1:11">
      <c r="A454" s="65">
        <v>6168</v>
      </c>
      <c r="B454" s="175">
        <v>-0.62</v>
      </c>
      <c r="C454" s="184">
        <v>0.7142857142857143</v>
      </c>
      <c r="D454" s="177">
        <v>200000000</v>
      </c>
      <c r="E454" s="26"/>
      <c r="F454" s="184">
        <v>8.3250000000000077E-3</v>
      </c>
      <c r="G454" s="177">
        <v>2760000000</v>
      </c>
      <c r="H454" s="177">
        <v>4389592000</v>
      </c>
      <c r="I454" s="175">
        <v>0.62876003054498009</v>
      </c>
      <c r="J454" s="177">
        <v>0</v>
      </c>
    </row>
    <row r="455" spans="1:11">
      <c r="A455" s="65">
        <v>6215</v>
      </c>
      <c r="B455" s="175">
        <v>-0.09</v>
      </c>
      <c r="C455" s="184">
        <v>1</v>
      </c>
      <c r="D455" s="177">
        <v>77777777.777777776</v>
      </c>
      <c r="E455" s="26"/>
      <c r="F455" s="184">
        <v>1.7083333333333329E-2</v>
      </c>
      <c r="G455" s="177">
        <v>1143333333.3333333</v>
      </c>
      <c r="H455" s="177">
        <v>1817967000</v>
      </c>
      <c r="I455" s="175">
        <v>0.62890763877085409</v>
      </c>
      <c r="J455" s="177">
        <v>0</v>
      </c>
    </row>
    <row r="456" spans="1:11">
      <c r="A456" s="65">
        <v>8110</v>
      </c>
      <c r="B456" s="175">
        <v>-0.09</v>
      </c>
      <c r="C456" s="184">
        <v>2.1739130434782608E-2</v>
      </c>
      <c r="D456" s="177">
        <v>500000000</v>
      </c>
      <c r="E456" s="26"/>
      <c r="F456" s="184">
        <v>-1.7408333333333331E-2</v>
      </c>
      <c r="G456" s="177">
        <v>5050000000</v>
      </c>
      <c r="H456" s="177">
        <v>8015984000</v>
      </c>
      <c r="I456" s="175">
        <v>0.62999127742769945</v>
      </c>
      <c r="J456" s="177">
        <v>0</v>
      </c>
    </row>
    <row r="457" spans="1:11">
      <c r="A457" s="65">
        <v>1586</v>
      </c>
      <c r="B457" s="175">
        <v>-0.36</v>
      </c>
      <c r="C457" s="184">
        <v>0</v>
      </c>
      <c r="D457" s="177">
        <v>44444444.444444448</v>
      </c>
      <c r="E457" s="26"/>
      <c r="F457" s="184">
        <v>-1.5824999999999999E-2</v>
      </c>
      <c r="G457" s="177">
        <v>1051111111.1111112</v>
      </c>
      <c r="H457" s="177">
        <v>1664484000</v>
      </c>
      <c r="I457" s="175">
        <v>0.6314936707779174</v>
      </c>
      <c r="J457" s="177">
        <v>0</v>
      </c>
      <c r="K457" s="32"/>
    </row>
    <row r="458" spans="1:11">
      <c r="A458" s="65">
        <v>1721</v>
      </c>
      <c r="B458" s="175">
        <v>0.14000000000000001</v>
      </c>
      <c r="C458" s="184">
        <v>1</v>
      </c>
      <c r="D458" s="177">
        <v>85714285.714285702</v>
      </c>
      <c r="E458" s="26"/>
      <c r="F458" s="184">
        <v>4.2025E-2</v>
      </c>
      <c r="G458" s="177">
        <v>925714285.71428561</v>
      </c>
      <c r="H458" s="177">
        <v>1464387000</v>
      </c>
      <c r="I458" s="175">
        <v>0.63215139557663758</v>
      </c>
      <c r="J458" s="177">
        <v>19.285714285714285</v>
      </c>
    </row>
    <row r="459" spans="1:11">
      <c r="A459" s="65">
        <v>1592</v>
      </c>
      <c r="B459" s="175">
        <v>0.41</v>
      </c>
      <c r="C459" s="184">
        <v>1</v>
      </c>
      <c r="D459" s="177">
        <v>102439024.3902439</v>
      </c>
      <c r="E459" s="26"/>
      <c r="F459" s="184">
        <v>3.3925000000000004E-2</v>
      </c>
      <c r="G459" s="177">
        <v>3160243902.4390244</v>
      </c>
      <c r="H459" s="177">
        <v>4997157000</v>
      </c>
      <c r="I459" s="175">
        <v>0.63240836788578469</v>
      </c>
      <c r="J459" s="177">
        <v>18.810975609756099</v>
      </c>
    </row>
    <row r="460" spans="1:11">
      <c r="A460" s="65">
        <v>2329</v>
      </c>
      <c r="B460" s="175">
        <v>0.32</v>
      </c>
      <c r="C460" s="184">
        <v>1</v>
      </c>
      <c r="D460" s="177">
        <v>800000000</v>
      </c>
      <c r="E460" s="26"/>
      <c r="F460" s="184">
        <v>1.2316666666666665E-2</v>
      </c>
      <c r="G460" s="177">
        <v>9920000000</v>
      </c>
      <c r="H460" s="177">
        <v>15669400000</v>
      </c>
      <c r="I460" s="175">
        <v>0.63308103692547257</v>
      </c>
      <c r="J460" s="177">
        <v>9.6875</v>
      </c>
    </row>
    <row r="461" spans="1:11">
      <c r="A461" s="65">
        <v>8093</v>
      </c>
      <c r="B461" s="175">
        <v>-0.48</v>
      </c>
      <c r="C461" s="184">
        <v>0.63636363636363635</v>
      </c>
      <c r="D461" s="177">
        <v>64583333.333333336</v>
      </c>
      <c r="E461" s="26"/>
      <c r="F461" s="184">
        <v>1.0225E-2</v>
      </c>
      <c r="G461" s="177">
        <v>360375000</v>
      </c>
      <c r="H461" s="177">
        <v>568790000</v>
      </c>
      <c r="I461" s="175">
        <v>0.63358181402626623</v>
      </c>
      <c r="J461" s="177">
        <v>0</v>
      </c>
    </row>
    <row r="462" spans="1:11">
      <c r="A462" s="65">
        <v>3296</v>
      </c>
      <c r="B462" s="175">
        <v>-0.25</v>
      </c>
      <c r="C462" s="184">
        <v>0.93333333333333335</v>
      </c>
      <c r="D462" s="177">
        <v>112000000</v>
      </c>
      <c r="E462" s="26"/>
      <c r="F462" s="184">
        <v>3.2575000000000014E-2</v>
      </c>
      <c r="G462" s="177">
        <v>1786400000</v>
      </c>
      <c r="H462" s="177">
        <v>2816231000</v>
      </c>
      <c r="I462" s="175">
        <v>0.63432296569422042</v>
      </c>
      <c r="J462" s="177">
        <v>0</v>
      </c>
    </row>
    <row r="463" spans="1:11">
      <c r="A463" s="65">
        <v>2467</v>
      </c>
      <c r="B463" s="175">
        <v>0.32</v>
      </c>
      <c r="C463" s="184">
        <v>1</v>
      </c>
      <c r="D463" s="177">
        <v>159375000</v>
      </c>
      <c r="E463" s="26"/>
      <c r="F463" s="184">
        <v>0.16942500000000002</v>
      </c>
      <c r="G463" s="177">
        <v>2199375000</v>
      </c>
      <c r="H463" s="177">
        <v>3466993000</v>
      </c>
      <c r="I463" s="175">
        <v>0.63437537947149014</v>
      </c>
      <c r="J463" s="177">
        <v>10.78125</v>
      </c>
    </row>
    <row r="464" spans="1:11">
      <c r="A464" s="65">
        <v>8084</v>
      </c>
      <c r="B464" s="175">
        <v>-0.36</v>
      </c>
      <c r="C464" s="184">
        <v>0.60416666666666663</v>
      </c>
      <c r="D464" s="177">
        <v>52777777.777777776</v>
      </c>
      <c r="E464" s="26"/>
      <c r="F464" s="184">
        <v>0.10124166666666666</v>
      </c>
      <c r="G464" s="177">
        <v>1258750000</v>
      </c>
      <c r="H464" s="177">
        <v>1982772000</v>
      </c>
      <c r="I464" s="175">
        <v>0.63484354227314088</v>
      </c>
      <c r="J464" s="177">
        <v>0</v>
      </c>
    </row>
    <row r="465" spans="1:10">
      <c r="A465" s="65">
        <v>4755</v>
      </c>
      <c r="B465" s="175">
        <v>0.51</v>
      </c>
      <c r="C465" s="184">
        <v>0.65853658536585369</v>
      </c>
      <c r="D465" s="177">
        <v>90196078.431372553</v>
      </c>
      <c r="E465" s="26"/>
      <c r="F465" s="184">
        <v>6.1833333333333297E-3</v>
      </c>
      <c r="G465" s="177">
        <v>2187254901.9607844</v>
      </c>
      <c r="H465" s="177">
        <v>3443417000</v>
      </c>
      <c r="I465" s="175">
        <v>0.6351989613691239</v>
      </c>
      <c r="J465" s="177">
        <v>18.051016702977485</v>
      </c>
    </row>
    <row r="466" spans="1:10">
      <c r="A466" s="65">
        <v>5493</v>
      </c>
      <c r="B466" s="175">
        <v>1.24</v>
      </c>
      <c r="C466" s="184">
        <v>0.75</v>
      </c>
      <c r="D466" s="177">
        <v>44354838.709677421</v>
      </c>
      <c r="E466" s="26"/>
      <c r="F466" s="184">
        <v>4.4675000000000013E-2</v>
      </c>
      <c r="G466" s="177">
        <v>1428225806.4516129</v>
      </c>
      <c r="H466" s="177">
        <v>2247881000</v>
      </c>
      <c r="I466" s="175">
        <v>0.63536539810230741</v>
      </c>
      <c r="J466" s="177">
        <v>8.6559139784946257</v>
      </c>
    </row>
    <row r="467" spans="1:10">
      <c r="A467" s="65">
        <v>1232</v>
      </c>
      <c r="B467" s="180">
        <v>1.1000000000000001</v>
      </c>
      <c r="C467" s="184">
        <v>1</v>
      </c>
      <c r="D467" s="181">
        <v>160909090.90909091</v>
      </c>
      <c r="E467" s="179"/>
      <c r="F467" s="184">
        <v>-3.9416666666666671E-3</v>
      </c>
      <c r="G467" s="181">
        <v>12052090909.09091</v>
      </c>
      <c r="H467" s="181">
        <v>18871009000</v>
      </c>
      <c r="I467" s="180">
        <v>0.63865641254746419</v>
      </c>
      <c r="J467" s="181">
        <v>17.022727272727273</v>
      </c>
    </row>
    <row r="468" spans="1:10">
      <c r="A468" s="65">
        <v>1231</v>
      </c>
      <c r="B468" s="180">
        <v>0.21</v>
      </c>
      <c r="C468" s="184">
        <v>0.79844961240310075</v>
      </c>
      <c r="D468" s="181">
        <v>147619047.61904761</v>
      </c>
      <c r="E468" s="179"/>
      <c r="F468" s="184">
        <v>1.5841666666666667E-2</v>
      </c>
      <c r="G468" s="181">
        <v>4111190476.1904764</v>
      </c>
      <c r="H468" s="181">
        <v>6435938000</v>
      </c>
      <c r="I468" s="180">
        <v>0.63878652594081486</v>
      </c>
      <c r="J468" s="181">
        <v>41.523925104022197</v>
      </c>
    </row>
    <row r="469" spans="1:10">
      <c r="A469" s="65">
        <v>5438</v>
      </c>
      <c r="B469" s="175">
        <v>0.31</v>
      </c>
      <c r="C469" s="184">
        <v>1</v>
      </c>
      <c r="D469" s="177">
        <v>109677419.35483871</v>
      </c>
      <c r="E469" s="26"/>
      <c r="F469" s="184">
        <v>9.7908333333333333E-2</v>
      </c>
      <c r="G469" s="177">
        <v>1530000000</v>
      </c>
      <c r="H469" s="177">
        <v>2394928000</v>
      </c>
      <c r="I469" s="175">
        <v>0.63885010321813429</v>
      </c>
      <c r="J469" s="177">
        <v>11.25</v>
      </c>
    </row>
    <row r="470" spans="1:10">
      <c r="A470" s="65">
        <v>3032</v>
      </c>
      <c r="B470" s="175">
        <v>0.27</v>
      </c>
      <c r="C470" s="184">
        <v>0.76136363636363635</v>
      </c>
      <c r="D470" s="177">
        <v>103703703.7037037</v>
      </c>
      <c r="E470" s="26"/>
      <c r="F470" s="184">
        <v>4.6383333333333332E-2</v>
      </c>
      <c r="G470" s="177">
        <v>2245185185.185185</v>
      </c>
      <c r="H470" s="177">
        <v>3511795000</v>
      </c>
      <c r="I470" s="175">
        <v>0.63932694966112347</v>
      </c>
      <c r="J470" s="177">
        <v>26.329463792150356</v>
      </c>
    </row>
    <row r="471" spans="1:10">
      <c r="A471" s="65">
        <v>6151</v>
      </c>
      <c r="B471" s="175">
        <v>0.59</v>
      </c>
      <c r="C471" s="184">
        <v>1</v>
      </c>
      <c r="D471" s="177">
        <v>55932203.389830515</v>
      </c>
      <c r="E471" s="26"/>
      <c r="F471" s="184">
        <v>1.4449999999999999E-2</v>
      </c>
      <c r="G471" s="177">
        <v>1269661016.9491527</v>
      </c>
      <c r="H471" s="177">
        <v>1982716000</v>
      </c>
      <c r="I471" s="175">
        <v>0.64036453881905064</v>
      </c>
      <c r="J471" s="177">
        <v>9.6186440677966107</v>
      </c>
    </row>
    <row r="472" spans="1:10">
      <c r="A472" s="65">
        <v>4722</v>
      </c>
      <c r="B472" s="175">
        <v>0.83</v>
      </c>
      <c r="C472" s="184">
        <v>1</v>
      </c>
      <c r="D472" s="177">
        <v>87951807.228915662</v>
      </c>
      <c r="E472" s="26"/>
      <c r="F472" s="184">
        <v>-1.7416666666666657E-3</v>
      </c>
      <c r="G472" s="177">
        <v>2972771084.3373489</v>
      </c>
      <c r="H472" s="177">
        <v>4639300000</v>
      </c>
      <c r="I472" s="175">
        <v>0.64078009275911219</v>
      </c>
      <c r="J472" s="177">
        <v>10.180722891566266</v>
      </c>
    </row>
    <row r="473" spans="1:10">
      <c r="A473" s="65">
        <v>3689</v>
      </c>
      <c r="B473" s="175">
        <v>0.67</v>
      </c>
      <c r="C473" s="184">
        <v>0.47747747747747749</v>
      </c>
      <c r="D473" s="177">
        <v>70149253.731343284</v>
      </c>
      <c r="E473" s="26"/>
      <c r="F473" s="184">
        <v>1.0116666666666675E-2</v>
      </c>
      <c r="G473" s="177">
        <v>2918208955.2238808</v>
      </c>
      <c r="H473" s="177">
        <v>4553942000</v>
      </c>
      <c r="I473" s="175">
        <v>0.64080942515822137</v>
      </c>
      <c r="J473" s="177">
        <v>32.509152351450297</v>
      </c>
    </row>
    <row r="474" spans="1:10">
      <c r="A474" s="65">
        <v>1530</v>
      </c>
      <c r="B474" s="175">
        <v>0.09</v>
      </c>
      <c r="C474" s="184">
        <v>0.64</v>
      </c>
      <c r="D474" s="177">
        <v>88888888.888888896</v>
      </c>
      <c r="E474" s="26"/>
      <c r="F474" s="184">
        <v>2.6124999999999999E-2</v>
      </c>
      <c r="G474" s="177">
        <v>2533333333.3333335</v>
      </c>
      <c r="H474" s="177">
        <v>3940040000</v>
      </c>
      <c r="I474" s="175">
        <v>0.64297147575489932</v>
      </c>
      <c r="J474" s="177">
        <v>50</v>
      </c>
    </row>
    <row r="475" spans="1:10">
      <c r="A475" s="65">
        <v>3044</v>
      </c>
      <c r="B475" s="175">
        <v>0.99</v>
      </c>
      <c r="C475" s="184">
        <v>0.6283018867924528</v>
      </c>
      <c r="D475" s="177">
        <v>527272727.27272725</v>
      </c>
      <c r="E475" s="26"/>
      <c r="F475" s="184">
        <v>5.6583333333333321E-3</v>
      </c>
      <c r="G475" s="177">
        <v>27839999999.999996</v>
      </c>
      <c r="H475" s="177">
        <v>43282789000</v>
      </c>
      <c r="I475" s="175">
        <v>0.64321178563608727</v>
      </c>
      <c r="J475" s="177">
        <v>21.221221221221221</v>
      </c>
    </row>
    <row r="476" spans="1:10">
      <c r="A476" s="65">
        <v>2380</v>
      </c>
      <c r="B476" s="175">
        <v>-0.25</v>
      </c>
      <c r="C476" s="184">
        <v>0.85321100917431192</v>
      </c>
      <c r="D476" s="177">
        <v>216000000</v>
      </c>
      <c r="E476" s="26"/>
      <c r="F476" s="184">
        <v>2.2974999999999999E-2</v>
      </c>
      <c r="G476" s="177">
        <v>1648080000</v>
      </c>
      <c r="H476" s="177">
        <v>2544951000</v>
      </c>
      <c r="I476" s="175">
        <v>0.64758810680441392</v>
      </c>
      <c r="J476" s="177">
        <v>0</v>
      </c>
    </row>
    <row r="477" spans="1:10">
      <c r="A477" s="65">
        <v>6247</v>
      </c>
      <c r="B477" s="175">
        <v>0.3</v>
      </c>
      <c r="C477" s="184">
        <v>0.71875</v>
      </c>
      <c r="D477" s="177">
        <v>60000000</v>
      </c>
      <c r="E477" s="26"/>
      <c r="F477" s="184">
        <v>3.1649999999999984E-2</v>
      </c>
      <c r="G477" s="177">
        <v>894000000</v>
      </c>
      <c r="H477" s="177">
        <v>1380203000</v>
      </c>
      <c r="I477" s="175">
        <v>0.647730804816393</v>
      </c>
      <c r="J477" s="177">
        <v>17.275362318840582</v>
      </c>
    </row>
    <row r="478" spans="1:10">
      <c r="A478" s="65">
        <v>1451</v>
      </c>
      <c r="B478" s="175">
        <v>0.12</v>
      </c>
      <c r="C478" s="184">
        <v>0.74736842105263157</v>
      </c>
      <c r="D478" s="177">
        <v>383333333.33333337</v>
      </c>
      <c r="E478" s="26"/>
      <c r="F478" s="184">
        <v>1.1399999999999995E-2</v>
      </c>
      <c r="G478" s="177">
        <v>8318333333.333334</v>
      </c>
      <c r="H478" s="177">
        <v>12825707000</v>
      </c>
      <c r="I478" s="175">
        <v>0.64856723557877427</v>
      </c>
      <c r="J478" s="177">
        <v>50</v>
      </c>
    </row>
    <row r="479" spans="1:10">
      <c r="A479" s="65">
        <v>5009</v>
      </c>
      <c r="B479" s="175">
        <v>0.4</v>
      </c>
      <c r="C479" s="184">
        <v>1</v>
      </c>
      <c r="D479" s="177">
        <v>445000000</v>
      </c>
      <c r="E479" s="26"/>
      <c r="F479" s="184">
        <v>-1.9599999999999999E-2</v>
      </c>
      <c r="G479" s="177">
        <v>7654000000</v>
      </c>
      <c r="H479" s="177">
        <v>11753299000</v>
      </c>
      <c r="I479" s="175">
        <v>0.65122141451519266</v>
      </c>
      <c r="J479" s="177">
        <v>10.749999999999998</v>
      </c>
    </row>
    <row r="480" spans="1:10">
      <c r="A480" s="65">
        <v>2472</v>
      </c>
      <c r="B480" s="175">
        <v>0.47</v>
      </c>
      <c r="C480" s="184">
        <v>1</v>
      </c>
      <c r="D480" s="177">
        <v>153191489.36170214</v>
      </c>
      <c r="E480" s="26"/>
      <c r="F480" s="184">
        <v>4.6666666666666926E-4</v>
      </c>
      <c r="G480" s="177">
        <v>3799148936.1702132</v>
      </c>
      <c r="H480" s="177">
        <v>5823724000</v>
      </c>
      <c r="I480" s="175">
        <v>0.65235731229196525</v>
      </c>
      <c r="J480" s="177">
        <v>13.191489361702128</v>
      </c>
    </row>
    <row r="481" spans="1:10">
      <c r="A481" s="65">
        <v>1324</v>
      </c>
      <c r="B481" s="175">
        <v>0.2</v>
      </c>
      <c r="C481" s="184">
        <v>0.95454545454545459</v>
      </c>
      <c r="D481" s="177">
        <v>75000000</v>
      </c>
      <c r="E481" s="26"/>
      <c r="F481" s="184">
        <v>9.1666666666666702E-3</v>
      </c>
      <c r="G481" s="177">
        <v>862500000</v>
      </c>
      <c r="H481" s="177">
        <v>1322069000</v>
      </c>
      <c r="I481" s="175">
        <v>0.65238652445522893</v>
      </c>
      <c r="J481" s="177">
        <v>15.059523809523808</v>
      </c>
    </row>
    <row r="482" spans="1:10">
      <c r="A482" s="65">
        <v>4550</v>
      </c>
      <c r="B482" s="175">
        <v>0.68</v>
      </c>
      <c r="C482" s="184">
        <v>1</v>
      </c>
      <c r="D482" s="177">
        <v>33823529.411764704</v>
      </c>
      <c r="E482" s="26"/>
      <c r="F482" s="184">
        <v>1.0900000000000002E-2</v>
      </c>
      <c r="G482" s="177">
        <v>794852941.17647052</v>
      </c>
      <c r="H482" s="177">
        <v>1217498000</v>
      </c>
      <c r="I482" s="175">
        <v>0.65285769765245649</v>
      </c>
      <c r="J482" s="177">
        <v>8.6397058823529402</v>
      </c>
    </row>
    <row r="483" spans="1:10">
      <c r="A483" s="65">
        <v>5209</v>
      </c>
      <c r="B483" s="175">
        <v>0.82</v>
      </c>
      <c r="C483" s="184">
        <v>1</v>
      </c>
      <c r="D483" s="177">
        <v>23170731.707317073</v>
      </c>
      <c r="E483" s="26"/>
      <c r="F483" s="184">
        <v>4.4974999999999994E-2</v>
      </c>
      <c r="G483" s="177">
        <v>1013719512.1951219</v>
      </c>
      <c r="H483" s="177">
        <v>1552233000</v>
      </c>
      <c r="I483" s="175">
        <v>0.65307174386520706</v>
      </c>
      <c r="J483" s="177">
        <v>13.338414634146343</v>
      </c>
    </row>
    <row r="484" spans="1:10">
      <c r="A484" s="65">
        <v>2313</v>
      </c>
      <c r="B484" s="175">
        <v>0.4</v>
      </c>
      <c r="C484" s="184">
        <v>1</v>
      </c>
      <c r="D484" s="177">
        <v>1195000000</v>
      </c>
      <c r="E484" s="26"/>
      <c r="F484" s="184">
        <v>3.6741666666666666E-2</v>
      </c>
      <c r="G484" s="177">
        <v>27664250000</v>
      </c>
      <c r="H484" s="177">
        <v>42216798000</v>
      </c>
      <c r="I484" s="175">
        <v>0.65529010513777008</v>
      </c>
      <c r="J484" s="177">
        <v>14.468749999999998</v>
      </c>
    </row>
    <row r="485" spans="1:10">
      <c r="A485" s="65">
        <v>2361</v>
      </c>
      <c r="B485" s="175">
        <v>-0.51</v>
      </c>
      <c r="C485" s="184">
        <v>0.74193548387096775</v>
      </c>
      <c r="D485" s="177">
        <v>72549019.607843131</v>
      </c>
      <c r="E485" s="26"/>
      <c r="F485" s="184">
        <v>4.1708333333333347E-2</v>
      </c>
      <c r="G485" s="177">
        <v>130588235.29411764</v>
      </c>
      <c r="H485" s="177">
        <v>198605000</v>
      </c>
      <c r="I485" s="175">
        <v>0.65752743029690919</v>
      </c>
      <c r="J485" s="177">
        <v>0</v>
      </c>
    </row>
    <row r="486" spans="1:10">
      <c r="A486" s="65">
        <v>5443</v>
      </c>
      <c r="B486" s="175">
        <v>0.11</v>
      </c>
      <c r="C486" s="184">
        <v>1</v>
      </c>
      <c r="D486" s="177">
        <v>163636363.63636363</v>
      </c>
      <c r="E486" s="26"/>
      <c r="F486" s="184">
        <v>9.440833333333333E-2</v>
      </c>
      <c r="G486" s="177">
        <v>2200909090.9090905</v>
      </c>
      <c r="H486" s="177">
        <v>3342568000</v>
      </c>
      <c r="I486" s="175">
        <v>0.65844856137828478</v>
      </c>
      <c r="J486" s="177">
        <v>30.568181818181817</v>
      </c>
    </row>
    <row r="487" spans="1:10">
      <c r="A487" s="65">
        <v>8941</v>
      </c>
      <c r="B487" s="175">
        <v>3.34</v>
      </c>
      <c r="C487" s="184">
        <v>0.52380952380952384</v>
      </c>
      <c r="D487" s="177">
        <v>17664670.658682637</v>
      </c>
      <c r="E487" s="26"/>
      <c r="F487" s="184">
        <v>2.0333333333333293E-3</v>
      </c>
      <c r="G487" s="177">
        <v>1630449101.7964072</v>
      </c>
      <c r="H487" s="177">
        <v>2474633000</v>
      </c>
      <c r="I487" s="175">
        <v>0.65886501222460347</v>
      </c>
      <c r="J487" s="177">
        <v>13.189303211758302</v>
      </c>
    </row>
    <row r="488" spans="1:10">
      <c r="A488" s="65">
        <v>3171</v>
      </c>
      <c r="B488" s="175">
        <v>0.49</v>
      </c>
      <c r="C488" s="184">
        <v>1</v>
      </c>
      <c r="D488" s="177">
        <v>59183673.469387755</v>
      </c>
      <c r="E488" s="26"/>
      <c r="F488" s="184">
        <v>6.8333333333333336E-3</v>
      </c>
      <c r="G488" s="177">
        <v>1160000000</v>
      </c>
      <c r="H488" s="177">
        <v>1757616000</v>
      </c>
      <c r="I488" s="175">
        <v>0.65998488862186055</v>
      </c>
      <c r="J488" s="177">
        <v>10.000000000000002</v>
      </c>
    </row>
    <row r="489" spans="1:10">
      <c r="A489" s="65">
        <v>3531</v>
      </c>
      <c r="B489" s="175">
        <v>-0.04</v>
      </c>
      <c r="C489" s="184">
        <v>1</v>
      </c>
      <c r="D489" s="177">
        <v>75000000</v>
      </c>
      <c r="E489" s="26"/>
      <c r="F489" s="184">
        <v>-9.3250000000000017E-3</v>
      </c>
      <c r="G489" s="177">
        <v>1170000000</v>
      </c>
      <c r="H489" s="177">
        <v>1771868000</v>
      </c>
      <c r="I489" s="175">
        <v>0.66032006898933782</v>
      </c>
      <c r="J489" s="177">
        <v>0</v>
      </c>
    </row>
    <row r="490" spans="1:10">
      <c r="A490" s="65">
        <v>2903</v>
      </c>
      <c r="B490" s="175">
        <v>0.09</v>
      </c>
      <c r="C490" s="184">
        <v>1</v>
      </c>
      <c r="D490" s="177">
        <v>1500000000</v>
      </c>
      <c r="E490" s="26"/>
      <c r="F490" s="184">
        <v>1.3025000000000004E-2</v>
      </c>
      <c r="G490" s="177">
        <v>30000000000</v>
      </c>
      <c r="H490" s="177">
        <v>45237834000</v>
      </c>
      <c r="I490" s="175">
        <v>0.66316172432128384</v>
      </c>
      <c r="J490" s="177">
        <v>50</v>
      </c>
    </row>
    <row r="491" spans="1:10">
      <c r="A491" s="65">
        <v>8111</v>
      </c>
      <c r="B491" s="175">
        <v>-0.16</v>
      </c>
      <c r="C491" s="184">
        <v>0.80769230769230771</v>
      </c>
      <c r="D491" s="177">
        <v>118750000</v>
      </c>
      <c r="E491" s="26"/>
      <c r="F491" s="184">
        <v>-1.4783333333333338E-2</v>
      </c>
      <c r="G491" s="177">
        <v>537937500</v>
      </c>
      <c r="H491" s="177">
        <v>810678000</v>
      </c>
      <c r="I491" s="175">
        <v>0.66356494193748938</v>
      </c>
      <c r="J491" s="177">
        <v>0</v>
      </c>
    </row>
    <row r="492" spans="1:10">
      <c r="A492" s="65">
        <v>8940</v>
      </c>
      <c r="B492" s="175">
        <v>-0.21</v>
      </c>
      <c r="C492" s="184">
        <v>0.90322580645161288</v>
      </c>
      <c r="D492" s="177">
        <v>66666666.666666672</v>
      </c>
      <c r="E492" s="26"/>
      <c r="F492" s="184">
        <v>0.16168333333333332</v>
      </c>
      <c r="G492" s="177">
        <v>1100000000</v>
      </c>
      <c r="H492" s="177">
        <v>1651732000</v>
      </c>
      <c r="I492" s="175">
        <v>0.66596760249241405</v>
      </c>
      <c r="J492" s="177">
        <v>0</v>
      </c>
    </row>
    <row r="493" spans="1:10">
      <c r="A493" s="65">
        <v>1333</v>
      </c>
      <c r="B493" s="175">
        <v>-7.0000000000000007E-2</v>
      </c>
      <c r="C493" s="184">
        <v>1</v>
      </c>
      <c r="D493" s="177">
        <v>99999999.999999985</v>
      </c>
      <c r="E493" s="26"/>
      <c r="F493" s="184">
        <v>-8.8416666666666695E-3</v>
      </c>
      <c r="G493" s="177">
        <v>620999999.99999988</v>
      </c>
      <c r="H493" s="177">
        <v>932348000</v>
      </c>
      <c r="I493" s="175">
        <v>0.66606031224392592</v>
      </c>
      <c r="J493" s="177">
        <v>0</v>
      </c>
    </row>
    <row r="494" spans="1:10">
      <c r="A494" s="65">
        <v>9907</v>
      </c>
      <c r="B494" s="175">
        <v>0.17</v>
      </c>
      <c r="C494" s="184">
        <v>0.86772486772486768</v>
      </c>
      <c r="D494" s="177">
        <v>1552941176.4705882</v>
      </c>
      <c r="E494" s="26"/>
      <c r="F494" s="184">
        <v>1.9383333333333336E-2</v>
      </c>
      <c r="G494" s="177">
        <v>24847058823.529411</v>
      </c>
      <c r="H494" s="177">
        <v>37285702000</v>
      </c>
      <c r="I494" s="175">
        <v>0.66639643323677833</v>
      </c>
      <c r="J494" s="177">
        <v>27.116212338593975</v>
      </c>
    </row>
    <row r="495" spans="1:10">
      <c r="A495" s="65">
        <v>6201</v>
      </c>
      <c r="B495" s="175">
        <v>0.56000000000000005</v>
      </c>
      <c r="C495" s="184">
        <v>0.87368421052631584</v>
      </c>
      <c r="D495" s="177">
        <v>89285714.285714284</v>
      </c>
      <c r="E495" s="26"/>
      <c r="F495" s="184">
        <v>1.3166666666666715E-3</v>
      </c>
      <c r="G495" s="177">
        <v>2200892857.1428571</v>
      </c>
      <c r="H495" s="177">
        <v>3298816000</v>
      </c>
      <c r="I495" s="175">
        <v>0.66717660431586878</v>
      </c>
      <c r="J495" s="177">
        <v>12.595471170395866</v>
      </c>
    </row>
    <row r="496" spans="1:10">
      <c r="A496" s="65">
        <v>3622</v>
      </c>
      <c r="B496" s="175">
        <v>-2.16</v>
      </c>
      <c r="C496" s="184">
        <v>0.80535714285714288</v>
      </c>
      <c r="D496" s="177">
        <v>151388888.88888887</v>
      </c>
      <c r="E496" s="26"/>
      <c r="F496" s="184">
        <v>-8.1916666666666544E-3</v>
      </c>
      <c r="G496" s="177">
        <v>1915069444.4444442</v>
      </c>
      <c r="H496" s="177">
        <v>2867210000</v>
      </c>
      <c r="I496" s="175">
        <v>0.66792088631263291</v>
      </c>
      <c r="J496" s="177">
        <v>0</v>
      </c>
    </row>
    <row r="497" spans="1:10">
      <c r="A497" s="65">
        <v>2734</v>
      </c>
      <c r="B497" s="175">
        <v>-0.05</v>
      </c>
      <c r="C497" s="184">
        <v>0.8</v>
      </c>
      <c r="D497" s="177">
        <v>40000000</v>
      </c>
      <c r="E497" s="26"/>
      <c r="F497" s="184">
        <v>4.0258333333333327E-2</v>
      </c>
      <c r="G497" s="177">
        <v>1166000000</v>
      </c>
      <c r="H497" s="177">
        <v>1741960000</v>
      </c>
      <c r="I497" s="175">
        <v>0.66936094973478155</v>
      </c>
      <c r="J497" s="177">
        <v>0</v>
      </c>
    </row>
    <row r="498" spans="1:10">
      <c r="A498" s="65">
        <v>5243</v>
      </c>
      <c r="B498" s="175">
        <v>0.41</v>
      </c>
      <c r="C498" s="184">
        <v>0.95862068965517244</v>
      </c>
      <c r="D498" s="177">
        <v>180487804.87804878</v>
      </c>
      <c r="E498" s="26"/>
      <c r="F498" s="184">
        <v>1.5583333333333345E-3</v>
      </c>
      <c r="G498" s="177">
        <v>5757560975.6097555</v>
      </c>
      <c r="H498" s="177">
        <v>8600330000</v>
      </c>
      <c r="I498" s="175">
        <v>0.66945814586297914</v>
      </c>
      <c r="J498" s="177">
        <v>20.29084049833304</v>
      </c>
    </row>
    <row r="499" spans="1:10">
      <c r="A499" s="65">
        <v>1604</v>
      </c>
      <c r="B499" s="175">
        <v>0.38</v>
      </c>
      <c r="C499" s="184">
        <v>0.39941690962099125</v>
      </c>
      <c r="D499" s="177">
        <v>510526315.78947365</v>
      </c>
      <c r="E499" s="26"/>
      <c r="F499" s="184">
        <v>5.6500000000000022E-3</v>
      </c>
      <c r="G499" s="177">
        <v>6534736842.1052628</v>
      </c>
      <c r="H499" s="177">
        <v>9759286000</v>
      </c>
      <c r="I499" s="175">
        <v>0.66959169370641081</v>
      </c>
      <c r="J499" s="177">
        <v>21.083365347675759</v>
      </c>
    </row>
    <row r="500" spans="1:10">
      <c r="A500" s="65">
        <v>4714</v>
      </c>
      <c r="B500" s="175">
        <v>0.09</v>
      </c>
      <c r="C500" s="184">
        <v>0.9285714285714286</v>
      </c>
      <c r="D500" s="177">
        <v>55555555.55555556</v>
      </c>
      <c r="E500" s="26"/>
      <c r="F500" s="184">
        <v>4.8033333333333324E-2</v>
      </c>
      <c r="G500" s="177">
        <v>505555555.55555558</v>
      </c>
      <c r="H500" s="177">
        <v>754084000</v>
      </c>
      <c r="I500" s="175">
        <v>0.67042339521267602</v>
      </c>
      <c r="J500" s="177">
        <v>27.222222222222221</v>
      </c>
    </row>
    <row r="501" spans="1:10">
      <c r="A501" s="65">
        <v>3607</v>
      </c>
      <c r="B501" s="175">
        <v>1.1299999999999999</v>
      </c>
      <c r="C501" s="184">
        <v>0.9833795013850416</v>
      </c>
      <c r="D501" s="177">
        <v>123008849.55752213</v>
      </c>
      <c r="E501" s="26"/>
      <c r="F501" s="184">
        <v>2.6733333333333321E-2</v>
      </c>
      <c r="G501" s="177">
        <v>7171415929.2035398</v>
      </c>
      <c r="H501" s="177">
        <v>10667935000</v>
      </c>
      <c r="I501" s="175">
        <v>0.67224030978849603</v>
      </c>
      <c r="J501" s="177">
        <v>13.1162283435124</v>
      </c>
    </row>
    <row r="502" spans="1:10">
      <c r="A502" s="65">
        <v>3338</v>
      </c>
      <c r="B502" s="175">
        <v>0.14000000000000001</v>
      </c>
      <c r="C502" s="184">
        <v>1</v>
      </c>
      <c r="D502" s="177">
        <v>71428571.428571418</v>
      </c>
      <c r="E502" s="26"/>
      <c r="F502" s="184">
        <v>2.0249999999999994E-2</v>
      </c>
      <c r="G502" s="177">
        <v>1689285714.2857139</v>
      </c>
      <c r="H502" s="177">
        <v>2509048000</v>
      </c>
      <c r="I502" s="175">
        <v>0.67327755957068736</v>
      </c>
      <c r="J502" s="177">
        <v>42.232142857142854</v>
      </c>
    </row>
    <row r="503" spans="1:10">
      <c r="A503" s="65">
        <v>1312</v>
      </c>
      <c r="B503" s="175">
        <v>0.96</v>
      </c>
      <c r="C503" s="184">
        <v>0.77901977644024079</v>
      </c>
      <c r="D503" s="177">
        <v>906250000</v>
      </c>
      <c r="E503" s="26"/>
      <c r="F503" s="184">
        <v>-2.9458333333333333E-2</v>
      </c>
      <c r="G503" s="177">
        <v>14409375000</v>
      </c>
      <c r="H503" s="177">
        <v>21354676000</v>
      </c>
      <c r="I503" s="175">
        <v>0.67476439352205575</v>
      </c>
      <c r="J503" s="177">
        <v>5.315173151214128</v>
      </c>
    </row>
    <row r="504" spans="1:10">
      <c r="A504" s="65">
        <v>2615</v>
      </c>
      <c r="B504" s="175">
        <v>0.49</v>
      </c>
      <c r="C504" s="184">
        <v>0.91487341772151898</v>
      </c>
      <c r="D504" s="177">
        <v>2216326530.6122451</v>
      </c>
      <c r="E504" s="26"/>
      <c r="F504" s="184">
        <v>-1.1508333333333334E-2</v>
      </c>
      <c r="G504" s="177">
        <v>45213061224.489799</v>
      </c>
      <c r="H504" s="177">
        <v>66862329000</v>
      </c>
      <c r="I504" s="175">
        <v>0.67621128220780047</v>
      </c>
      <c r="J504" s="177">
        <v>11.376615675671859</v>
      </c>
    </row>
    <row r="505" spans="1:10">
      <c r="A505" s="65">
        <v>3642</v>
      </c>
      <c r="B505" s="175">
        <v>-0.3</v>
      </c>
      <c r="C505" s="184">
        <v>1</v>
      </c>
      <c r="D505" s="177">
        <v>33333333.333333336</v>
      </c>
      <c r="E505" s="26"/>
      <c r="F505" s="184">
        <v>2.3183333333333337E-2</v>
      </c>
      <c r="G505" s="177">
        <v>550000000</v>
      </c>
      <c r="H505" s="177">
        <v>813053000</v>
      </c>
      <c r="I505" s="175">
        <v>0.67646266602546201</v>
      </c>
      <c r="J505" s="177">
        <v>0</v>
      </c>
    </row>
    <row r="506" spans="1:10">
      <c r="A506" s="65">
        <v>1709</v>
      </c>
      <c r="B506" s="175">
        <v>0.51</v>
      </c>
      <c r="C506" s="184">
        <v>1</v>
      </c>
      <c r="D506" s="177">
        <v>433333333.33333331</v>
      </c>
      <c r="E506" s="26"/>
      <c r="F506" s="184">
        <v>-1.1008333333333334E-2</v>
      </c>
      <c r="G506" s="177">
        <v>6543333333.333333</v>
      </c>
      <c r="H506" s="177">
        <v>9659907000</v>
      </c>
      <c r="I506" s="175">
        <v>0.67737022036892625</v>
      </c>
      <c r="J506" s="177">
        <v>7.401960784313725</v>
      </c>
    </row>
    <row r="507" spans="1:10">
      <c r="A507" s="65">
        <v>3149</v>
      </c>
      <c r="B507" s="175">
        <v>-11.07</v>
      </c>
      <c r="C507" s="184">
        <v>0.46992257296009532</v>
      </c>
      <c r="D507" s="177">
        <v>268744354.11020774</v>
      </c>
      <c r="E507" s="26"/>
      <c r="F507" s="184">
        <v>3.2475000000000018E-2</v>
      </c>
      <c r="G507" s="177">
        <v>4098351400.1806679</v>
      </c>
      <c r="H507" s="177">
        <v>6046587000</v>
      </c>
      <c r="I507" s="175">
        <v>0.67779582104427971</v>
      </c>
      <c r="J507" s="177">
        <v>0</v>
      </c>
    </row>
    <row r="508" spans="1:10">
      <c r="A508" s="65">
        <v>4712</v>
      </c>
      <c r="B508" s="175">
        <v>-7.0000000000000007E-2</v>
      </c>
      <c r="C508" s="184">
        <v>1</v>
      </c>
      <c r="D508" s="177">
        <v>99999999.999999985</v>
      </c>
      <c r="E508" s="26"/>
      <c r="F508" s="184">
        <v>-4.5766666666666671E-2</v>
      </c>
      <c r="G508" s="177">
        <v>803999999.99999976</v>
      </c>
      <c r="H508" s="177">
        <v>1185445000</v>
      </c>
      <c r="I508" s="175">
        <v>0.67822632007389605</v>
      </c>
      <c r="J508" s="177">
        <v>0</v>
      </c>
    </row>
    <row r="509" spans="1:10">
      <c r="A509" s="65">
        <v>1402</v>
      </c>
      <c r="B509" s="175">
        <v>0.73</v>
      </c>
      <c r="C509" s="184">
        <v>0.1782429432286711</v>
      </c>
      <c r="D509" s="177">
        <v>5028767123.2876711</v>
      </c>
      <c r="E509" s="26"/>
      <c r="F509" s="184">
        <v>-1.0433333333333331E-2</v>
      </c>
      <c r="G509" s="177">
        <v>149354383561.64383</v>
      </c>
      <c r="H509" s="177">
        <v>219873920000</v>
      </c>
      <c r="I509" s="175">
        <v>0.67927284673709287</v>
      </c>
      <c r="J509" s="177">
        <v>50</v>
      </c>
    </row>
    <row r="510" spans="1:10">
      <c r="A510" s="65">
        <v>3206</v>
      </c>
      <c r="B510" s="175">
        <v>0.82</v>
      </c>
      <c r="C510" s="184">
        <v>0.94</v>
      </c>
      <c r="D510" s="177">
        <v>43902439.024390243</v>
      </c>
      <c r="E510" s="26"/>
      <c r="F510" s="184">
        <v>3.5150000000000001E-2</v>
      </c>
      <c r="G510" s="177">
        <v>1062439024.3902439</v>
      </c>
      <c r="H510" s="177">
        <v>1561380000</v>
      </c>
      <c r="I510" s="175">
        <v>0.68044872125315037</v>
      </c>
      <c r="J510" s="177">
        <v>7.8489880643487293</v>
      </c>
    </row>
    <row r="511" spans="1:10">
      <c r="A511" s="65">
        <v>2427</v>
      </c>
      <c r="B511" s="175">
        <v>0.03</v>
      </c>
      <c r="C511" s="184">
        <v>1</v>
      </c>
      <c r="D511" s="177">
        <v>200000000</v>
      </c>
      <c r="E511" s="26"/>
      <c r="F511" s="184">
        <v>0.17841666666666667</v>
      </c>
      <c r="G511" s="177">
        <v>1350000000</v>
      </c>
      <c r="H511" s="177">
        <v>1979155000</v>
      </c>
      <c r="I511" s="175">
        <v>0.6821092840126215</v>
      </c>
      <c r="J511" s="177">
        <v>50</v>
      </c>
    </row>
    <row r="512" spans="1:10">
      <c r="A512" s="65">
        <v>4716</v>
      </c>
      <c r="B512" s="175">
        <v>7.0000000000000007E-2</v>
      </c>
      <c r="C512" s="184">
        <v>1</v>
      </c>
      <c r="D512" s="177">
        <v>71428571.428571418</v>
      </c>
      <c r="E512" s="26"/>
      <c r="F512" s="184">
        <v>4.1966666666666673E-2</v>
      </c>
      <c r="G512" s="177">
        <v>774999999.99999988</v>
      </c>
      <c r="H512" s="177">
        <v>1133795000</v>
      </c>
      <c r="I512" s="175">
        <v>0.68354508531083646</v>
      </c>
      <c r="J512" s="177">
        <v>38.749999999999993</v>
      </c>
    </row>
    <row r="513" spans="1:10">
      <c r="A513" s="65">
        <v>5255</v>
      </c>
      <c r="B513" s="175">
        <v>0.05</v>
      </c>
      <c r="C513" s="184">
        <v>1</v>
      </c>
      <c r="D513" s="177">
        <v>40000000</v>
      </c>
      <c r="E513" s="26"/>
      <c r="F513" s="184">
        <v>1.7058333333333339E-2</v>
      </c>
      <c r="G513" s="177">
        <v>784000000</v>
      </c>
      <c r="H513" s="177">
        <v>1145922000</v>
      </c>
      <c r="I513" s="175">
        <v>0.68416523986798405</v>
      </c>
      <c r="J513" s="177">
        <v>50</v>
      </c>
    </row>
    <row r="514" spans="1:10">
      <c r="A514" s="65">
        <v>1513</v>
      </c>
      <c r="B514" s="175">
        <v>0.25</v>
      </c>
      <c r="C514" s="184">
        <v>0.69736842105263153</v>
      </c>
      <c r="D514" s="177">
        <v>424000000</v>
      </c>
      <c r="E514" s="26"/>
      <c r="F514" s="184">
        <v>3.8650000000000011E-2</v>
      </c>
      <c r="G514" s="177">
        <v>7377599999.999999</v>
      </c>
      <c r="H514" s="177">
        <v>10737908000</v>
      </c>
      <c r="I514" s="175">
        <v>0.68706120410046345</v>
      </c>
      <c r="J514" s="177">
        <v>24.950943396226414</v>
      </c>
    </row>
    <row r="515" spans="1:10">
      <c r="A515" s="65">
        <v>4532</v>
      </c>
      <c r="B515" s="175">
        <v>0.62</v>
      </c>
      <c r="C515" s="184">
        <v>0.89563567362428842</v>
      </c>
      <c r="D515" s="177">
        <v>464516129.03225809</v>
      </c>
      <c r="E515" s="26"/>
      <c r="F515" s="184">
        <v>-6.9000000000000008E-3</v>
      </c>
      <c r="G515" s="177">
        <v>10707096774.19355</v>
      </c>
      <c r="H515" s="177">
        <v>15581079000</v>
      </c>
      <c r="I515" s="175">
        <v>0.68718583444660986</v>
      </c>
      <c r="J515" s="177">
        <v>10.377383474576272</v>
      </c>
    </row>
    <row r="516" spans="1:10">
      <c r="A516" s="65">
        <v>1704</v>
      </c>
      <c r="B516" s="175">
        <v>0.7</v>
      </c>
      <c r="C516" s="184">
        <v>0.67720828789531085</v>
      </c>
      <c r="D516" s="177">
        <v>848571428.57142866</v>
      </c>
      <c r="E516" s="26"/>
      <c r="F516" s="184">
        <v>4.120833333333334E-2</v>
      </c>
      <c r="G516" s="177">
        <v>24184285714.285717</v>
      </c>
      <c r="H516" s="177">
        <v>35158647000</v>
      </c>
      <c r="I516" s="175">
        <v>0.68786167210261862</v>
      </c>
      <c r="J516" s="177">
        <v>15.030193236714975</v>
      </c>
    </row>
    <row r="517" spans="1:10">
      <c r="A517" s="65">
        <v>3661</v>
      </c>
      <c r="B517" s="175">
        <v>0.25</v>
      </c>
      <c r="C517" s="184">
        <v>1</v>
      </c>
      <c r="D517" s="177">
        <v>64000000</v>
      </c>
      <c r="E517" s="26"/>
      <c r="F517" s="184">
        <v>4.5491666666666659E-2</v>
      </c>
      <c r="G517" s="177">
        <v>2838400000</v>
      </c>
      <c r="H517" s="177">
        <v>4119156000</v>
      </c>
      <c r="I517" s="175">
        <v>0.68907319849017612</v>
      </c>
      <c r="J517" s="177">
        <v>44.35</v>
      </c>
    </row>
    <row r="518" spans="1:10">
      <c r="A518" s="65">
        <v>3561</v>
      </c>
      <c r="B518" s="175">
        <v>-0.82</v>
      </c>
      <c r="C518" s="184">
        <v>0.8647450110864745</v>
      </c>
      <c r="D518" s="177">
        <v>368292682.92682928</v>
      </c>
      <c r="E518" s="26"/>
      <c r="F518" s="184">
        <v>6.2425000000000008E-2</v>
      </c>
      <c r="G518" s="177">
        <v>6813414634.1463413</v>
      </c>
      <c r="H518" s="177">
        <v>9880811000</v>
      </c>
      <c r="I518" s="175">
        <v>0.68956026323611908</v>
      </c>
      <c r="J518" s="177">
        <v>0</v>
      </c>
    </row>
    <row r="519" spans="1:10">
      <c r="A519" s="65">
        <v>2369</v>
      </c>
      <c r="B519" s="175">
        <v>-0.11</v>
      </c>
      <c r="C519" s="184">
        <v>1</v>
      </c>
      <c r="D519" s="177">
        <v>363636363.63636363</v>
      </c>
      <c r="E519" s="26"/>
      <c r="F519" s="184">
        <v>-3.1249999999999993E-3</v>
      </c>
      <c r="G519" s="177">
        <v>3818181818.181818</v>
      </c>
      <c r="H519" s="177">
        <v>5519574000</v>
      </c>
      <c r="I519" s="175">
        <v>0.69175299002818302</v>
      </c>
      <c r="J519" s="177">
        <v>0</v>
      </c>
    </row>
    <row r="520" spans="1:10">
      <c r="A520" s="65">
        <v>8054</v>
      </c>
      <c r="B520" s="175">
        <v>0.2</v>
      </c>
      <c r="C520" s="184">
        <v>0.52777777777777779</v>
      </c>
      <c r="D520" s="177">
        <v>75000000</v>
      </c>
      <c r="E520" s="26"/>
      <c r="F520" s="184">
        <v>-9.9500000000000005E-3</v>
      </c>
      <c r="G520" s="177">
        <v>1638750000</v>
      </c>
      <c r="H520" s="177">
        <v>2365218000</v>
      </c>
      <c r="I520" s="175">
        <v>0.6928536819861848</v>
      </c>
      <c r="J520" s="177">
        <v>50</v>
      </c>
    </row>
    <row r="521" spans="1:10">
      <c r="A521" s="65">
        <v>5355</v>
      </c>
      <c r="B521" s="175">
        <v>0.02</v>
      </c>
      <c r="C521" s="184">
        <v>1</v>
      </c>
      <c r="D521" s="177">
        <v>150000000</v>
      </c>
      <c r="E521" s="26"/>
      <c r="F521" s="184">
        <v>-2.0958333333333332E-2</v>
      </c>
      <c r="G521" s="177">
        <v>1059000000</v>
      </c>
      <c r="H521" s="177">
        <v>1528419000</v>
      </c>
      <c r="I521" s="175">
        <v>0.69287283133748012</v>
      </c>
      <c r="J521" s="177">
        <v>50</v>
      </c>
    </row>
    <row r="522" spans="1:10">
      <c r="A522" s="65">
        <v>6284</v>
      </c>
      <c r="B522" s="175">
        <v>-0.46</v>
      </c>
      <c r="C522" s="184">
        <v>0</v>
      </c>
      <c r="D522" s="177">
        <v>97826086.956521735</v>
      </c>
      <c r="E522" s="26"/>
      <c r="F522" s="184">
        <v>6.5916666666666667E-3</v>
      </c>
      <c r="G522" s="177">
        <v>2411413043.4782605</v>
      </c>
      <c r="H522" s="177">
        <v>3469152000</v>
      </c>
      <c r="I522" s="175">
        <v>0.69510158202300176</v>
      </c>
      <c r="J522" s="177">
        <v>0</v>
      </c>
    </row>
    <row r="523" spans="1:10">
      <c r="A523" s="65">
        <v>1902</v>
      </c>
      <c r="B523" s="175">
        <v>0.18</v>
      </c>
      <c r="C523" s="184">
        <v>1</v>
      </c>
      <c r="D523" s="177">
        <v>411111111.1111111</v>
      </c>
      <c r="E523" s="26"/>
      <c r="F523" s="184">
        <v>-2.9808333333333329E-2</v>
      </c>
      <c r="G523" s="177">
        <v>4501666666.666666</v>
      </c>
      <c r="H523" s="177">
        <v>6467707000</v>
      </c>
      <c r="I523" s="175">
        <v>0.69602204717478178</v>
      </c>
      <c r="J523" s="177">
        <v>15.208333333333332</v>
      </c>
    </row>
    <row r="524" spans="1:10">
      <c r="A524" s="65">
        <v>8105</v>
      </c>
      <c r="B524" s="175">
        <v>0.11</v>
      </c>
      <c r="C524" s="184">
        <v>0</v>
      </c>
      <c r="D524" s="177">
        <v>427272727.27272725</v>
      </c>
      <c r="E524" s="26"/>
      <c r="F524" s="184">
        <v>2.4150000000000005E-2</v>
      </c>
      <c r="G524" s="177">
        <v>7434545454.545454</v>
      </c>
      <c r="H524" s="177">
        <v>10675241000</v>
      </c>
      <c r="I524" s="175">
        <v>0.69642881641224341</v>
      </c>
      <c r="J524" s="177">
        <v>0</v>
      </c>
    </row>
    <row r="525" spans="1:10">
      <c r="A525" s="65">
        <v>4534</v>
      </c>
      <c r="B525" s="175">
        <v>0.08</v>
      </c>
      <c r="C525" s="184">
        <v>0.33333333333333331</v>
      </c>
      <c r="D525" s="177">
        <v>75000000</v>
      </c>
      <c r="E525" s="26"/>
      <c r="F525" s="184">
        <v>3.3950000000000001E-2</v>
      </c>
      <c r="G525" s="177">
        <v>798750000</v>
      </c>
      <c r="H525" s="177">
        <v>1142436000</v>
      </c>
      <c r="I525" s="175">
        <v>0.69916389189416295</v>
      </c>
      <c r="J525" s="177">
        <v>50</v>
      </c>
    </row>
    <row r="526" spans="1:10">
      <c r="A526" s="65">
        <v>2916</v>
      </c>
      <c r="B526" s="175">
        <v>0.28000000000000003</v>
      </c>
      <c r="C526" s="184">
        <v>0.63888888888888884</v>
      </c>
      <c r="D526" s="177">
        <v>53571428.571428567</v>
      </c>
      <c r="E526" s="26"/>
      <c r="F526" s="184">
        <v>3.339166666666666E-2</v>
      </c>
      <c r="G526" s="177">
        <v>974999999.99999988</v>
      </c>
      <c r="H526" s="177">
        <v>1388864000</v>
      </c>
      <c r="I526" s="175">
        <v>0.70201258006543465</v>
      </c>
      <c r="J526" s="177">
        <v>25.434782608695649</v>
      </c>
    </row>
    <row r="527" spans="1:10">
      <c r="A527" s="65">
        <v>8411</v>
      </c>
      <c r="B527" s="175">
        <v>0.17</v>
      </c>
      <c r="C527" s="184">
        <v>1</v>
      </c>
      <c r="D527" s="177">
        <v>152941176.47058824</v>
      </c>
      <c r="E527" s="26"/>
      <c r="F527" s="184">
        <v>4.6724999999999996E-2</v>
      </c>
      <c r="G527" s="177">
        <v>4244117647.0588236</v>
      </c>
      <c r="H527" s="177">
        <v>6013863000</v>
      </c>
      <c r="I527" s="175">
        <v>0.7057223696414141</v>
      </c>
      <c r="J527" s="177">
        <v>40.808823529411761</v>
      </c>
    </row>
    <row r="528" spans="1:10">
      <c r="A528" s="65">
        <v>3484</v>
      </c>
      <c r="B528" s="175">
        <v>0.5</v>
      </c>
      <c r="C528" s="184">
        <v>1</v>
      </c>
      <c r="D528" s="177">
        <v>62000000</v>
      </c>
      <c r="E528" s="26"/>
      <c r="F528" s="184">
        <v>1.3133333333333337E-2</v>
      </c>
      <c r="G528" s="177">
        <v>2306400000</v>
      </c>
      <c r="H528" s="177">
        <v>3262534000</v>
      </c>
      <c r="I528" s="175">
        <v>0.70693516144199575</v>
      </c>
      <c r="J528" s="177">
        <v>18.600000000000001</v>
      </c>
    </row>
    <row r="529" spans="1:10">
      <c r="A529" s="65">
        <v>2020</v>
      </c>
      <c r="B529" s="175">
        <v>0.12</v>
      </c>
      <c r="C529" s="184">
        <v>0.41304347826086957</v>
      </c>
      <c r="D529" s="177">
        <v>250000000</v>
      </c>
      <c r="E529" s="26"/>
      <c r="F529" s="184">
        <v>6.6666666666666263E-4</v>
      </c>
      <c r="G529" s="177">
        <v>3337500000</v>
      </c>
      <c r="H529" s="177">
        <v>4714942000</v>
      </c>
      <c r="I529" s="175">
        <v>0.70785600331881071</v>
      </c>
      <c r="J529" s="177">
        <v>50</v>
      </c>
    </row>
    <row r="530" spans="1:10">
      <c r="A530" s="65">
        <v>9912</v>
      </c>
      <c r="B530" s="175">
        <v>-0.26</v>
      </c>
      <c r="C530" s="184">
        <v>0.89473684210526316</v>
      </c>
      <c r="D530" s="177">
        <v>50000000</v>
      </c>
      <c r="E530" s="26"/>
      <c r="F530" s="184">
        <v>5.0983333333333332E-2</v>
      </c>
      <c r="G530" s="177">
        <v>480999999.99999994</v>
      </c>
      <c r="H530" s="177">
        <v>678482000</v>
      </c>
      <c r="I530" s="175">
        <v>0.70893553550425792</v>
      </c>
      <c r="J530" s="177">
        <v>0</v>
      </c>
    </row>
    <row r="531" spans="1:10">
      <c r="A531" s="65">
        <v>6609</v>
      </c>
      <c r="B531" s="175">
        <v>0.41</v>
      </c>
      <c r="C531" s="184">
        <v>1</v>
      </c>
      <c r="D531" s="177">
        <v>70731707.317073181</v>
      </c>
      <c r="E531" s="26"/>
      <c r="F531" s="184">
        <v>8.0249999999999922E-3</v>
      </c>
      <c r="G531" s="177">
        <v>1976951219.5121953</v>
      </c>
      <c r="H531" s="177">
        <v>2779658000</v>
      </c>
      <c r="I531" s="175">
        <v>0.71122102773513696</v>
      </c>
      <c r="J531" s="177">
        <v>17.042682926829269</v>
      </c>
    </row>
    <row r="532" spans="1:10">
      <c r="A532" s="65">
        <v>2103</v>
      </c>
      <c r="B532" s="175">
        <v>0.42</v>
      </c>
      <c r="C532" s="184">
        <v>1</v>
      </c>
      <c r="D532" s="177">
        <v>835714285.71428573</v>
      </c>
      <c r="E532" s="26"/>
      <c r="F532" s="184">
        <v>-9.4583333333333325E-3</v>
      </c>
      <c r="G532" s="177">
        <v>19639285714.285713</v>
      </c>
      <c r="H532" s="177">
        <v>27599975000</v>
      </c>
      <c r="I532" s="175">
        <v>0.71156896751847465</v>
      </c>
      <c r="J532" s="177">
        <v>13.988095238095239</v>
      </c>
    </row>
    <row r="533" spans="1:10">
      <c r="A533" s="65">
        <v>1526</v>
      </c>
      <c r="B533" s="175">
        <v>0.39</v>
      </c>
      <c r="C533" s="184">
        <v>1</v>
      </c>
      <c r="D533" s="177">
        <v>48717948.71794872</v>
      </c>
      <c r="E533" s="26"/>
      <c r="F533" s="184">
        <v>4.0425000000000003E-2</v>
      </c>
      <c r="G533" s="177">
        <v>635769230.76923084</v>
      </c>
      <c r="H533" s="177">
        <v>893379000</v>
      </c>
      <c r="I533" s="175">
        <v>0.71164559584367981</v>
      </c>
      <c r="J533" s="177">
        <v>8.365384615384615</v>
      </c>
    </row>
    <row r="534" spans="1:10">
      <c r="A534" s="65">
        <v>1216</v>
      </c>
      <c r="B534" s="180">
        <v>0.81</v>
      </c>
      <c r="C534" s="184">
        <v>0.45949352583934916</v>
      </c>
      <c r="D534" s="181">
        <v>5466666666.666666</v>
      </c>
      <c r="E534" s="179"/>
      <c r="F534" s="184">
        <v>6.8416666666666669E-3</v>
      </c>
      <c r="G534" s="181">
        <v>298480000000</v>
      </c>
      <c r="H534" s="181">
        <v>418356090000</v>
      </c>
      <c r="I534" s="180">
        <v>0.71345919692480153</v>
      </c>
      <c r="J534" s="181">
        <v>36.674840676087555</v>
      </c>
    </row>
    <row r="535" spans="1:10">
      <c r="A535" s="65">
        <v>1727</v>
      </c>
      <c r="B535" s="175">
        <v>0.23</v>
      </c>
      <c r="C535" s="184">
        <v>1</v>
      </c>
      <c r="D535" s="177">
        <v>104347826.08695652</v>
      </c>
      <c r="E535" s="26"/>
      <c r="F535" s="184">
        <v>1.3974999999999996E-2</v>
      </c>
      <c r="G535" s="177">
        <v>1601739130.4347825</v>
      </c>
      <c r="H535" s="177">
        <v>2241586000</v>
      </c>
      <c r="I535" s="175">
        <v>0.71455618050558067</v>
      </c>
      <c r="J535" s="177">
        <v>16.684782608695652</v>
      </c>
    </row>
    <row r="536" spans="1:10">
      <c r="A536" s="65">
        <v>9958</v>
      </c>
      <c r="B536" s="175">
        <v>0.04</v>
      </c>
      <c r="C536" s="184">
        <v>1</v>
      </c>
      <c r="D536" s="177">
        <v>200000000</v>
      </c>
      <c r="E536" s="26"/>
      <c r="F536" s="184">
        <v>3.1258333333333346E-2</v>
      </c>
      <c r="G536" s="177">
        <v>2000000000</v>
      </c>
      <c r="H536" s="177">
        <v>2795104000</v>
      </c>
      <c r="I536" s="175">
        <v>0.71553688163302687</v>
      </c>
      <c r="J536" s="177">
        <v>50</v>
      </c>
    </row>
    <row r="537" spans="1:10">
      <c r="A537" s="65">
        <v>4526</v>
      </c>
      <c r="B537" s="175">
        <v>0.17</v>
      </c>
      <c r="C537" s="184">
        <v>1</v>
      </c>
      <c r="D537" s="177">
        <v>264705882.35294116</v>
      </c>
      <c r="E537" s="26"/>
      <c r="F537" s="184">
        <v>3.4949999999999988E-2</v>
      </c>
      <c r="G537" s="177">
        <v>6419117647.0588226</v>
      </c>
      <c r="H537" s="177">
        <v>8966173000</v>
      </c>
      <c r="I537" s="175">
        <v>0.71592614229714535</v>
      </c>
      <c r="J537" s="177">
        <v>35.661764705882348</v>
      </c>
    </row>
    <row r="538" spans="1:10">
      <c r="A538" s="65">
        <v>3591</v>
      </c>
      <c r="B538" s="175">
        <v>-0.12</v>
      </c>
      <c r="C538" s="184">
        <v>0</v>
      </c>
      <c r="D538" s="177">
        <v>125000000</v>
      </c>
      <c r="E538" s="26"/>
      <c r="F538" s="184">
        <v>4.280833333333333E-2</v>
      </c>
      <c r="G538" s="177">
        <v>2400000000</v>
      </c>
      <c r="H538" s="177">
        <v>3351344000</v>
      </c>
      <c r="I538" s="175">
        <v>0.71613060312519394</v>
      </c>
      <c r="J538" s="177">
        <v>0</v>
      </c>
    </row>
    <row r="539" spans="1:10">
      <c r="A539" s="65">
        <v>8201</v>
      </c>
      <c r="B539" s="175">
        <v>-0.66</v>
      </c>
      <c r="C539" s="184">
        <v>1</v>
      </c>
      <c r="D539" s="177">
        <v>89393939.393939391</v>
      </c>
      <c r="E539" s="26"/>
      <c r="F539" s="184">
        <v>6.8341666666666676E-2</v>
      </c>
      <c r="G539" s="177">
        <v>679393939.39393938</v>
      </c>
      <c r="H539" s="177">
        <v>947561000</v>
      </c>
      <c r="I539" s="175">
        <v>0.71699229853691671</v>
      </c>
      <c r="J539" s="177">
        <v>0</v>
      </c>
    </row>
    <row r="540" spans="1:10">
      <c r="A540" s="65">
        <v>2724</v>
      </c>
      <c r="B540" s="175">
        <v>1.04</v>
      </c>
      <c r="C540" s="184">
        <v>1</v>
      </c>
      <c r="D540" s="177">
        <v>38461538.461538464</v>
      </c>
      <c r="E540" s="26"/>
      <c r="F540" s="184">
        <v>-9.9583333333333329E-3</v>
      </c>
      <c r="G540" s="177">
        <v>676923076.92307699</v>
      </c>
      <c r="H540" s="177">
        <v>943029000</v>
      </c>
      <c r="I540" s="175">
        <v>0.71781787932616814</v>
      </c>
      <c r="J540" s="177">
        <v>4.2307692307692308</v>
      </c>
    </row>
    <row r="541" spans="1:10">
      <c r="A541" s="65">
        <v>1809</v>
      </c>
      <c r="B541" s="175">
        <v>0.06</v>
      </c>
      <c r="C541" s="184">
        <v>1</v>
      </c>
      <c r="D541" s="177">
        <v>200000000</v>
      </c>
      <c r="E541" s="26"/>
      <c r="F541" s="184">
        <v>-1.9933333333333334E-2</v>
      </c>
      <c r="G541" s="177">
        <v>2139999999.9999998</v>
      </c>
      <c r="H541" s="177">
        <v>2977826000</v>
      </c>
      <c r="I541" s="175">
        <v>0.71864507865805449</v>
      </c>
      <c r="J541" s="177">
        <v>44.583333333333329</v>
      </c>
    </row>
    <row r="542" spans="1:10">
      <c r="A542" s="65">
        <v>3021</v>
      </c>
      <c r="B542" s="175">
        <v>0.22</v>
      </c>
      <c r="C542" s="184">
        <v>0.6071428571428571</v>
      </c>
      <c r="D542" s="177">
        <v>104545454.54545455</v>
      </c>
      <c r="E542" s="26"/>
      <c r="F542" s="184">
        <v>5.1249999999999997E-2</v>
      </c>
      <c r="G542" s="177">
        <v>1249318181.8181818</v>
      </c>
      <c r="H542" s="177">
        <v>1735712000</v>
      </c>
      <c r="I542" s="175">
        <v>0.7197727398428897</v>
      </c>
      <c r="J542" s="177">
        <v>22.366310160427808</v>
      </c>
    </row>
    <row r="543" spans="1:10">
      <c r="A543" s="65">
        <v>3224</v>
      </c>
      <c r="B543" s="175">
        <v>-0.11</v>
      </c>
      <c r="C543" s="184">
        <v>1</v>
      </c>
      <c r="D543" s="177">
        <v>45454545.454545453</v>
      </c>
      <c r="E543" s="26"/>
      <c r="F543" s="184">
        <v>4.1508333333333328E-2</v>
      </c>
      <c r="G543" s="177">
        <v>1527272727.2727273</v>
      </c>
      <c r="H543" s="177">
        <v>2120543000</v>
      </c>
      <c r="I543" s="175">
        <v>0.72022719052277051</v>
      </c>
      <c r="J543" s="177">
        <v>0</v>
      </c>
    </row>
    <row r="544" spans="1:10">
      <c r="A544" s="65">
        <v>4429</v>
      </c>
      <c r="B544" s="175">
        <v>0.27</v>
      </c>
      <c r="C544" s="184">
        <v>1</v>
      </c>
      <c r="D544" s="177">
        <v>33333333.333333332</v>
      </c>
      <c r="E544" s="26"/>
      <c r="F544" s="184">
        <v>8.1583333333333386E-3</v>
      </c>
      <c r="G544" s="177">
        <v>745000000</v>
      </c>
      <c r="H544" s="177">
        <v>1033995000</v>
      </c>
      <c r="I544" s="175">
        <v>0.72050638542739565</v>
      </c>
      <c r="J544" s="177">
        <v>20.694444444444443</v>
      </c>
    </row>
    <row r="545" spans="1:10">
      <c r="A545" s="65">
        <v>6456</v>
      </c>
      <c r="B545" s="175">
        <v>0.34</v>
      </c>
      <c r="C545" s="184">
        <v>0</v>
      </c>
      <c r="D545" s="177">
        <v>288235294.11764705</v>
      </c>
      <c r="E545" s="26"/>
      <c r="F545" s="184">
        <v>2.9558333333333336E-2</v>
      </c>
      <c r="G545" s="177">
        <v>39488235294.117645</v>
      </c>
      <c r="H545" s="177">
        <v>54800376000</v>
      </c>
      <c r="I545" s="175">
        <v>0.72058329114598862</v>
      </c>
      <c r="J545" s="177">
        <v>0</v>
      </c>
    </row>
    <row r="546" spans="1:10">
      <c r="A546" s="65">
        <v>2061</v>
      </c>
      <c r="B546" s="175">
        <v>-0.43</v>
      </c>
      <c r="C546" s="184">
        <v>0.56000000000000005</v>
      </c>
      <c r="D546" s="177">
        <v>62790697.674418606</v>
      </c>
      <c r="E546" s="26"/>
      <c r="F546" s="184">
        <v>1.8616666666666667E-2</v>
      </c>
      <c r="G546" s="177">
        <v>794302325.58139539</v>
      </c>
      <c r="H546" s="177">
        <v>1101456000</v>
      </c>
      <c r="I546" s="175">
        <v>0.72113849811648889</v>
      </c>
      <c r="J546" s="177">
        <v>0</v>
      </c>
    </row>
    <row r="547" spans="1:10">
      <c r="A547" s="65">
        <v>2393</v>
      </c>
      <c r="B547" s="175">
        <v>0.74</v>
      </c>
      <c r="C547" s="184">
        <v>0.95776255707762559</v>
      </c>
      <c r="D547" s="177">
        <v>425675675.67567569</v>
      </c>
      <c r="E547" s="26"/>
      <c r="F547" s="184">
        <v>-1.2658333333333336E-2</v>
      </c>
      <c r="G547" s="177">
        <v>20964527027.027027</v>
      </c>
      <c r="H547" s="177">
        <v>29070586000</v>
      </c>
      <c r="I547" s="175">
        <v>0.72115942303423219</v>
      </c>
      <c r="J547" s="177">
        <v>17.372273942595754</v>
      </c>
    </row>
    <row r="548" spans="1:10">
      <c r="A548" s="65">
        <v>4974</v>
      </c>
      <c r="B548" s="175">
        <v>1.1100000000000001</v>
      </c>
      <c r="C548" s="184">
        <v>1</v>
      </c>
      <c r="D548" s="177">
        <v>62162162.162162155</v>
      </c>
      <c r="E548" s="26"/>
      <c r="F548" s="184">
        <v>6.0791666666666661E-2</v>
      </c>
      <c r="G548" s="177">
        <v>2604594594.594594</v>
      </c>
      <c r="H548" s="177">
        <v>3609052000</v>
      </c>
      <c r="I548" s="175">
        <v>0.7216838645147241</v>
      </c>
      <c r="J548" s="177">
        <v>9.4369369369369362</v>
      </c>
    </row>
    <row r="549" spans="1:10">
      <c r="A549" s="65">
        <v>8443</v>
      </c>
      <c r="B549" s="175">
        <v>0.26</v>
      </c>
      <c r="C549" s="184">
        <v>0.82857142857142863</v>
      </c>
      <c r="D549" s="177">
        <v>65384615.384615384</v>
      </c>
      <c r="E549" s="26"/>
      <c r="F549" s="184">
        <v>-7.7416666666666675E-3</v>
      </c>
      <c r="G549" s="177">
        <v>1575769230.7692308</v>
      </c>
      <c r="H549" s="177">
        <v>2180638000</v>
      </c>
      <c r="I549" s="175">
        <v>0.72261844046064994</v>
      </c>
      <c r="J549" s="177">
        <v>27.967506631299734</v>
      </c>
    </row>
    <row r="550" spans="1:10">
      <c r="A550" s="65">
        <v>4735</v>
      </c>
      <c r="B550" s="175">
        <v>0.35</v>
      </c>
      <c r="C550" s="184">
        <v>1</v>
      </c>
      <c r="D550" s="177">
        <v>31428571.428571429</v>
      </c>
      <c r="E550" s="26"/>
      <c r="F550" s="184">
        <v>0.10962499999999999</v>
      </c>
      <c r="G550" s="177">
        <v>740142857.14285719</v>
      </c>
      <c r="H550" s="177">
        <v>1022346000</v>
      </c>
      <c r="I550" s="175">
        <v>0.72396513229655834</v>
      </c>
      <c r="J550" s="177">
        <v>16.821428571428573</v>
      </c>
    </row>
    <row r="551" spans="1:10">
      <c r="A551" s="65">
        <v>4711</v>
      </c>
      <c r="B551" s="175">
        <v>0.04</v>
      </c>
      <c r="C551" s="184">
        <v>1</v>
      </c>
      <c r="D551" s="177">
        <v>75000000</v>
      </c>
      <c r="E551" s="26"/>
      <c r="F551" s="184">
        <v>-9.4916666666666621E-3</v>
      </c>
      <c r="G551" s="177">
        <v>888750000</v>
      </c>
      <c r="H551" s="177">
        <v>1223323000</v>
      </c>
      <c r="I551" s="175">
        <v>0.72650477429100901</v>
      </c>
      <c r="J551" s="177">
        <v>50</v>
      </c>
    </row>
    <row r="552" spans="1:10">
      <c r="A552" s="65">
        <v>8046</v>
      </c>
      <c r="B552" s="175">
        <v>-0.05</v>
      </c>
      <c r="C552" s="184">
        <v>5.0847457627118647E-2</v>
      </c>
      <c r="D552" s="177">
        <v>640000000</v>
      </c>
      <c r="E552" s="26"/>
      <c r="F552" s="184">
        <v>-1.2841666666666668E-2</v>
      </c>
      <c r="G552" s="177">
        <v>22144000000</v>
      </c>
      <c r="H552" s="177">
        <v>30433432000</v>
      </c>
      <c r="I552" s="175">
        <v>0.72762086116347313</v>
      </c>
      <c r="J552" s="177">
        <v>0</v>
      </c>
    </row>
    <row r="553" spans="1:10">
      <c r="A553" s="65">
        <v>1445</v>
      </c>
      <c r="B553" s="175">
        <v>0.17</v>
      </c>
      <c r="C553" s="184">
        <v>1</v>
      </c>
      <c r="D553" s="177">
        <v>141176470.58823529</v>
      </c>
      <c r="E553" s="26"/>
      <c r="F553" s="184">
        <v>4.2416666666666679E-3</v>
      </c>
      <c r="G553" s="177">
        <v>1372235294.1176472</v>
      </c>
      <c r="H553" s="177">
        <v>1876148000</v>
      </c>
      <c r="I553" s="175">
        <v>0.73141100495144684</v>
      </c>
      <c r="J553" s="177">
        <v>14.294117647058824</v>
      </c>
    </row>
    <row r="554" spans="1:10">
      <c r="A554" s="65">
        <v>3406</v>
      </c>
      <c r="B554" s="175">
        <v>-4.59</v>
      </c>
      <c r="C554" s="184">
        <v>0.87728740581270181</v>
      </c>
      <c r="D554" s="177">
        <v>99782135.076252729</v>
      </c>
      <c r="E554" s="26"/>
      <c r="F554" s="184">
        <v>8.0224999999999991E-2</v>
      </c>
      <c r="G554" s="177">
        <v>7044618736.3834419</v>
      </c>
      <c r="H554" s="177">
        <v>9612071000</v>
      </c>
      <c r="I554" s="175">
        <v>0.73289291520874555</v>
      </c>
      <c r="J554" s="177">
        <v>0</v>
      </c>
    </row>
    <row r="555" spans="1:10">
      <c r="A555" s="65">
        <v>1568</v>
      </c>
      <c r="B555" s="175">
        <v>0.28999999999999998</v>
      </c>
      <c r="C555" s="184">
        <v>1</v>
      </c>
      <c r="D555" s="177">
        <v>103448275.86206897</v>
      </c>
      <c r="E555" s="26"/>
      <c r="F555" s="184">
        <v>1.5816666666666663E-2</v>
      </c>
      <c r="G555" s="177">
        <v>1727586206.8965516</v>
      </c>
      <c r="H555" s="177">
        <v>2356251000</v>
      </c>
      <c r="I555" s="175">
        <v>0.73319277398568816</v>
      </c>
      <c r="J555" s="177">
        <v>14.396551724137931</v>
      </c>
    </row>
    <row r="556" spans="1:10">
      <c r="A556" s="65">
        <v>1519</v>
      </c>
      <c r="B556" s="175">
        <v>0.43</v>
      </c>
      <c r="C556" s="184">
        <v>1</v>
      </c>
      <c r="D556" s="177">
        <v>260465116.27906978</v>
      </c>
      <c r="E556" s="26"/>
      <c r="F556" s="184">
        <v>0.1115</v>
      </c>
      <c r="G556" s="177">
        <v>4050232558.1395354</v>
      </c>
      <c r="H556" s="177">
        <v>5522096000</v>
      </c>
      <c r="I556" s="175">
        <v>0.73345928034201791</v>
      </c>
      <c r="J556" s="177">
        <v>9.0406976744186061</v>
      </c>
    </row>
    <row r="557" spans="1:10">
      <c r="A557" s="65">
        <v>1314</v>
      </c>
      <c r="B557" s="175">
        <v>0.15</v>
      </c>
      <c r="C557" s="184">
        <v>0</v>
      </c>
      <c r="D557" s="177">
        <v>2360000000</v>
      </c>
      <c r="E557" s="26"/>
      <c r="F557" s="184">
        <v>-4.6916666666666662E-2</v>
      </c>
      <c r="G557" s="177">
        <v>20225200000</v>
      </c>
      <c r="H557" s="177">
        <v>27544829000</v>
      </c>
      <c r="I557" s="175">
        <v>0.73426485965841359</v>
      </c>
      <c r="J557" s="177">
        <v>0</v>
      </c>
    </row>
    <row r="558" spans="1:10">
      <c r="A558" s="65">
        <v>3527</v>
      </c>
      <c r="B558" s="175">
        <v>1.1200000000000001</v>
      </c>
      <c r="C558" s="184">
        <v>0.97435897435897434</v>
      </c>
      <c r="D558" s="177">
        <v>32142857.142857138</v>
      </c>
      <c r="E558" s="26"/>
      <c r="F558" s="184">
        <v>1.6750000000000001E-2</v>
      </c>
      <c r="G558" s="177">
        <v>1526785714.2857141</v>
      </c>
      <c r="H558" s="177">
        <v>2073728000</v>
      </c>
      <c r="I558" s="175">
        <v>0.73625167538159009</v>
      </c>
      <c r="J558" s="177">
        <v>10.881696428571427</v>
      </c>
    </row>
    <row r="559" spans="1:10">
      <c r="A559" s="65">
        <v>4527</v>
      </c>
      <c r="B559" s="175">
        <v>0.46</v>
      </c>
      <c r="C559" s="184">
        <v>0.98333333333333328</v>
      </c>
      <c r="D559" s="177">
        <v>76086956.521739125</v>
      </c>
      <c r="E559" s="26"/>
      <c r="F559" s="184">
        <v>4.986666666666667E-2</v>
      </c>
      <c r="G559" s="177">
        <v>1734782608.695652</v>
      </c>
      <c r="H559" s="177">
        <v>2353899000</v>
      </c>
      <c r="I559" s="175">
        <v>0.73698260150314521</v>
      </c>
      <c r="J559" s="177">
        <v>12.601326455416361</v>
      </c>
    </row>
    <row r="560" spans="1:10">
      <c r="A560" s="65">
        <v>3005</v>
      </c>
      <c r="B560" s="175">
        <v>0.47</v>
      </c>
      <c r="C560" s="184">
        <v>0.50611620795107037</v>
      </c>
      <c r="D560" s="177">
        <v>580851063.82978725</v>
      </c>
      <c r="E560" s="26"/>
      <c r="F560" s="184">
        <v>2.0891666666666666E-2</v>
      </c>
      <c r="G560" s="177">
        <v>13475744680.851065</v>
      </c>
      <c r="H560" s="177">
        <v>18264400000</v>
      </c>
      <c r="I560" s="175">
        <v>0.73781480261333876</v>
      </c>
      <c r="J560" s="177">
        <v>24.382593044931543</v>
      </c>
    </row>
    <row r="561" spans="1:10">
      <c r="A561" s="65">
        <v>6138</v>
      </c>
      <c r="B561" s="175">
        <v>0.09</v>
      </c>
      <c r="C561" s="184">
        <v>0.86486486486486491</v>
      </c>
      <c r="D561" s="177">
        <v>100000000</v>
      </c>
      <c r="E561" s="26"/>
      <c r="F561" s="184">
        <v>1.6475000000000004E-2</v>
      </c>
      <c r="G561" s="177">
        <v>2175000000</v>
      </c>
      <c r="H561" s="177">
        <v>2943715000</v>
      </c>
      <c r="I561" s="175">
        <v>0.73886228795926234</v>
      </c>
      <c r="J561" s="177">
        <v>50</v>
      </c>
    </row>
    <row r="562" spans="1:10">
      <c r="A562" s="65">
        <v>1217</v>
      </c>
      <c r="B562" s="180">
        <v>-0.13</v>
      </c>
      <c r="C562" s="184">
        <v>0.73228346456692917</v>
      </c>
      <c r="D562" s="181">
        <v>492307692.30769229</v>
      </c>
      <c r="E562" s="179"/>
      <c r="F562" s="184">
        <v>2.2233333333333331E-2</v>
      </c>
      <c r="G562" s="181">
        <v>3421538461.5384617</v>
      </c>
      <c r="H562" s="181">
        <v>4630564000</v>
      </c>
      <c r="I562" s="180">
        <v>0.7389031792970493</v>
      </c>
      <c r="J562" s="181">
        <v>0</v>
      </c>
    </row>
    <row r="563" spans="1:10">
      <c r="A563" s="65">
        <v>9802</v>
      </c>
      <c r="B563" s="175">
        <v>-0.84</v>
      </c>
      <c r="C563" s="184">
        <v>0.87878787878787878</v>
      </c>
      <c r="D563" s="177">
        <v>129761904.76190476</v>
      </c>
      <c r="E563" s="26"/>
      <c r="F563" s="184">
        <v>4.2758333333333343E-2</v>
      </c>
      <c r="G563" s="177">
        <v>6864404761.9047613</v>
      </c>
      <c r="H563" s="177">
        <v>9279633000</v>
      </c>
      <c r="I563" s="175">
        <v>0.7397280433293818</v>
      </c>
      <c r="J563" s="177">
        <v>0</v>
      </c>
    </row>
    <row r="564" spans="1:10">
      <c r="A564" s="65">
        <v>2480</v>
      </c>
      <c r="B564" s="175">
        <v>0.43</v>
      </c>
      <c r="C564" s="184">
        <v>0.91869918699186992</v>
      </c>
      <c r="D564" s="177">
        <v>134883720.93023255</v>
      </c>
      <c r="E564" s="26"/>
      <c r="F564" s="184">
        <v>6.7833333333333287E-3</v>
      </c>
      <c r="G564" s="177">
        <v>3506976744.1860466</v>
      </c>
      <c r="H564" s="177">
        <v>4737608000</v>
      </c>
      <c r="I564" s="175">
        <v>0.74024206818842897</v>
      </c>
      <c r="J564" s="177">
        <v>16.454002881251288</v>
      </c>
    </row>
    <row r="565" spans="1:10">
      <c r="A565" s="65">
        <v>5519</v>
      </c>
      <c r="B565" s="175">
        <v>0.54</v>
      </c>
      <c r="C565" s="184">
        <v>0.97931034482758617</v>
      </c>
      <c r="D565" s="177">
        <v>174074074.07407406</v>
      </c>
      <c r="E565" s="26"/>
      <c r="F565" s="184">
        <v>5.7824999999999994E-2</v>
      </c>
      <c r="G565" s="177">
        <v>2393518518.5185184</v>
      </c>
      <c r="H565" s="177">
        <v>3228050000</v>
      </c>
      <c r="I565" s="175">
        <v>0.74147504484704962</v>
      </c>
      <c r="J565" s="177">
        <v>6.5002282211789257</v>
      </c>
    </row>
    <row r="566" spans="1:10">
      <c r="A566" s="65">
        <v>6116</v>
      </c>
      <c r="B566" s="175">
        <v>-0.26</v>
      </c>
      <c r="C566" s="184">
        <v>1</v>
      </c>
      <c r="D566" s="177">
        <v>3276923076.9230766</v>
      </c>
      <c r="E566" s="26"/>
      <c r="F566" s="184">
        <v>-2.3599999999999999E-2</v>
      </c>
      <c r="G566" s="177">
        <v>14025230769.230768</v>
      </c>
      <c r="H566" s="177">
        <v>18895279000</v>
      </c>
      <c r="I566" s="175">
        <v>0.74226111026096875</v>
      </c>
      <c r="J566" s="177">
        <v>0</v>
      </c>
    </row>
    <row r="567" spans="1:10">
      <c r="A567" s="65">
        <v>6287</v>
      </c>
      <c r="B567" s="175">
        <v>-0.45</v>
      </c>
      <c r="C567" s="184">
        <v>0.95270270270270274</v>
      </c>
      <c r="D567" s="177">
        <v>182222222.22222221</v>
      </c>
      <c r="E567" s="26"/>
      <c r="F567" s="184">
        <v>3.2025000000000005E-2</v>
      </c>
      <c r="G567" s="177">
        <v>626844444.44444442</v>
      </c>
      <c r="H567" s="177">
        <v>843965000</v>
      </c>
      <c r="I567" s="175">
        <v>0.74273748845561649</v>
      </c>
      <c r="J567" s="177">
        <v>0</v>
      </c>
    </row>
    <row r="568" spans="1:10">
      <c r="A568" s="65">
        <v>2464</v>
      </c>
      <c r="B568" s="175">
        <v>0.62</v>
      </c>
      <c r="C568" s="184">
        <v>1</v>
      </c>
      <c r="D568" s="177">
        <v>191935483.87096775</v>
      </c>
      <c r="E568" s="26"/>
      <c r="F568" s="184">
        <v>2.6349999999999998E-2</v>
      </c>
      <c r="G568" s="177">
        <v>5662096774.1935482</v>
      </c>
      <c r="H568" s="177">
        <v>7617518000</v>
      </c>
      <c r="I568" s="175">
        <v>0.74329942826437012</v>
      </c>
      <c r="J568" s="177">
        <v>11.89516129032258</v>
      </c>
    </row>
    <row r="569" spans="1:10">
      <c r="A569" s="65">
        <v>3438</v>
      </c>
      <c r="B569" s="175">
        <v>0.11</v>
      </c>
      <c r="C569" s="184">
        <v>1</v>
      </c>
      <c r="D569" s="177">
        <v>36363636.363636367</v>
      </c>
      <c r="E569" s="26"/>
      <c r="F569" s="184">
        <v>-8.6416666666666603E-3</v>
      </c>
      <c r="G569" s="177">
        <v>683636363.63636374</v>
      </c>
      <c r="H569" s="177">
        <v>915865000</v>
      </c>
      <c r="I569" s="175">
        <v>0.74643791785510283</v>
      </c>
      <c r="J569" s="177">
        <v>42.727272727272727</v>
      </c>
    </row>
    <row r="570" spans="1:10">
      <c r="A570" s="65">
        <v>6105</v>
      </c>
      <c r="B570" s="175">
        <v>1.21</v>
      </c>
      <c r="C570" s="184">
        <v>0.31192660550458717</v>
      </c>
      <c r="D570" s="177">
        <v>105785123.96694215</v>
      </c>
      <c r="E570" s="26"/>
      <c r="F570" s="184">
        <v>3.3249999999999998E-3</v>
      </c>
      <c r="G570" s="177">
        <v>4448264462.8099165</v>
      </c>
      <c r="H570" s="177">
        <v>5955536000</v>
      </c>
      <c r="I570" s="175">
        <v>0.7469125302592271</v>
      </c>
      <c r="J570" s="177">
        <v>27.852758872143895</v>
      </c>
    </row>
    <row r="571" spans="1:10">
      <c r="A571" s="65">
        <v>2104</v>
      </c>
      <c r="B571" s="175">
        <v>0.18</v>
      </c>
      <c r="C571" s="184">
        <v>1</v>
      </c>
      <c r="D571" s="177">
        <v>555555555.55555558</v>
      </c>
      <c r="E571" s="26"/>
      <c r="F571" s="184">
        <v>-1.8383333333333335E-2</v>
      </c>
      <c r="G571" s="177">
        <v>13666666666.666668</v>
      </c>
      <c r="H571" s="177">
        <v>18279264000</v>
      </c>
      <c r="I571" s="175">
        <v>0.7476595702467379</v>
      </c>
      <c r="J571" s="177">
        <v>34.166666666666671</v>
      </c>
    </row>
    <row r="572" spans="1:10">
      <c r="A572" s="65">
        <v>2477</v>
      </c>
      <c r="B572" s="175">
        <v>0.05</v>
      </c>
      <c r="C572" s="184">
        <v>0.45652173913043476</v>
      </c>
      <c r="D572" s="177">
        <v>240000000</v>
      </c>
      <c r="E572" s="26"/>
      <c r="F572" s="184">
        <v>4.1133333333333348E-2</v>
      </c>
      <c r="G572" s="177">
        <v>3084000000</v>
      </c>
      <c r="H572" s="177">
        <v>4110841000</v>
      </c>
      <c r="I572" s="175">
        <v>0.75021145308222814</v>
      </c>
      <c r="J572" s="177">
        <v>50</v>
      </c>
    </row>
    <row r="573" spans="1:10">
      <c r="A573" s="65">
        <v>8103</v>
      </c>
      <c r="B573" s="175">
        <v>0.67</v>
      </c>
      <c r="C573" s="184">
        <v>0.99199999999999999</v>
      </c>
      <c r="D573" s="177">
        <v>77611940.298507452</v>
      </c>
      <c r="E573" s="26"/>
      <c r="F573" s="184">
        <v>4.1666666666666614E-3</v>
      </c>
      <c r="G573" s="177">
        <v>2239104477.6119399</v>
      </c>
      <c r="H573" s="177">
        <v>2977811000</v>
      </c>
      <c r="I573" s="175">
        <v>0.75192968177360486</v>
      </c>
      <c r="J573" s="177">
        <v>10.8517392874338</v>
      </c>
    </row>
    <row r="574" spans="1:10">
      <c r="A574" s="65">
        <v>6245</v>
      </c>
      <c r="B574" s="175">
        <v>0.33</v>
      </c>
      <c r="C574" s="184">
        <v>0.97777777777777775</v>
      </c>
      <c r="D574" s="177">
        <v>90909090.909090906</v>
      </c>
      <c r="E574" s="26"/>
      <c r="F574" s="184">
        <v>5.1508333333333323E-2</v>
      </c>
      <c r="G574" s="177">
        <v>3918181818.181818</v>
      </c>
      <c r="H574" s="177">
        <v>5208879000</v>
      </c>
      <c r="I574" s="175">
        <v>0.7522121013334766</v>
      </c>
      <c r="J574" s="177">
        <v>33.393595041322314</v>
      </c>
    </row>
    <row r="575" spans="1:10">
      <c r="A575" s="65">
        <v>1535</v>
      </c>
      <c r="B575" s="175">
        <v>0.99</v>
      </c>
      <c r="C575" s="184">
        <v>0.7421875</v>
      </c>
      <c r="D575" s="177">
        <v>123232323.23232323</v>
      </c>
      <c r="E575" s="26"/>
      <c r="F575" s="184">
        <v>4.4266666666666669E-2</v>
      </c>
      <c r="G575" s="177">
        <v>7665050505.0505056</v>
      </c>
      <c r="H575" s="177">
        <v>10171676000</v>
      </c>
      <c r="I575" s="175">
        <v>0.75356809487939902</v>
      </c>
      <c r="J575" s="177">
        <v>21.163211057947901</v>
      </c>
    </row>
    <row r="576" spans="1:10">
      <c r="A576" s="65">
        <v>3276</v>
      </c>
      <c r="B576" s="175">
        <v>0.03</v>
      </c>
      <c r="C576" s="184">
        <v>1</v>
      </c>
      <c r="D576" s="177">
        <v>66666666.666666672</v>
      </c>
      <c r="E576" s="26"/>
      <c r="F576" s="184">
        <v>4.0183333333333335E-2</v>
      </c>
      <c r="G576" s="177">
        <v>650000000</v>
      </c>
      <c r="H576" s="177">
        <v>861647000</v>
      </c>
      <c r="I576" s="175">
        <v>0.75436924865983401</v>
      </c>
      <c r="J576" s="177">
        <v>50</v>
      </c>
    </row>
    <row r="577" spans="1:10">
      <c r="A577" s="65">
        <v>2520</v>
      </c>
      <c r="B577" s="175">
        <v>-0.31</v>
      </c>
      <c r="C577" s="184">
        <v>0</v>
      </c>
      <c r="D577" s="177">
        <v>483870967.74193549</v>
      </c>
      <c r="E577" s="26"/>
      <c r="F577" s="184">
        <v>0.39368333333333333</v>
      </c>
      <c r="G577" s="177">
        <v>8491935483.8709679</v>
      </c>
      <c r="H577" s="177">
        <v>11228158000</v>
      </c>
      <c r="I577" s="175">
        <v>0.75630708829275184</v>
      </c>
      <c r="J577" s="177">
        <v>0</v>
      </c>
    </row>
    <row r="578" spans="1:10">
      <c r="A578" s="65">
        <v>5538</v>
      </c>
      <c r="B578" s="175">
        <v>0.46</v>
      </c>
      <c r="C578" s="184">
        <v>0.97515527950310554</v>
      </c>
      <c r="D578" s="177">
        <v>169565217.39130434</v>
      </c>
      <c r="E578" s="26"/>
      <c r="F578" s="184">
        <v>1.5283333333333341E-2</v>
      </c>
      <c r="G578" s="177">
        <v>4696956521.73913</v>
      </c>
      <c r="H578" s="177">
        <v>6199995000</v>
      </c>
      <c r="I578" s="175">
        <v>0.75757424348553992</v>
      </c>
      <c r="J578" s="177">
        <v>15.437898089171973</v>
      </c>
    </row>
    <row r="579" spans="1:10">
      <c r="A579" s="65">
        <v>3679</v>
      </c>
      <c r="B579" s="175">
        <v>0.61</v>
      </c>
      <c r="C579" s="184">
        <v>0.53703703703703709</v>
      </c>
      <c r="D579" s="177">
        <v>78688524.590163931</v>
      </c>
      <c r="E579" s="26"/>
      <c r="F579" s="184">
        <v>1.701666666666667E-2</v>
      </c>
      <c r="G579" s="177">
        <v>3300983606.5573773</v>
      </c>
      <c r="H579" s="177">
        <v>4349117000</v>
      </c>
      <c r="I579" s="175">
        <v>0.7590008745585316</v>
      </c>
      <c r="J579" s="177">
        <v>32.01384963256077</v>
      </c>
    </row>
    <row r="580" spans="1:10">
      <c r="A580" s="65">
        <v>5351</v>
      </c>
      <c r="B580" s="175">
        <v>0</v>
      </c>
      <c r="C580" s="184">
        <v>0</v>
      </c>
      <c r="D580" s="177">
        <v>437100000</v>
      </c>
      <c r="E580" s="26"/>
      <c r="F580" s="184">
        <v>-1.4383333333333337E-2</v>
      </c>
      <c r="G580" s="177">
        <v>5857140000</v>
      </c>
      <c r="H580" s="177">
        <v>7713911000</v>
      </c>
      <c r="I580" s="175">
        <v>0.75929577097791245</v>
      </c>
      <c r="J580" s="177">
        <v>0</v>
      </c>
    </row>
    <row r="581" spans="1:10">
      <c r="A581" s="65">
        <v>6175</v>
      </c>
      <c r="B581" s="175">
        <v>0.13</v>
      </c>
      <c r="C581" s="184">
        <v>1</v>
      </c>
      <c r="D581" s="177">
        <v>115384615.38461538</v>
      </c>
      <c r="E581" s="26"/>
      <c r="F581" s="184">
        <v>-1.2833333333333353E-3</v>
      </c>
      <c r="G581" s="177">
        <v>1471153846.153846</v>
      </c>
      <c r="H581" s="177">
        <v>1934797000</v>
      </c>
      <c r="I581" s="175">
        <v>0.76036599506503577</v>
      </c>
      <c r="J581" s="177">
        <v>24.51923076923077</v>
      </c>
    </row>
    <row r="582" spans="1:10">
      <c r="A582" s="65">
        <v>8349</v>
      </c>
      <c r="B582" s="175">
        <v>1.64</v>
      </c>
      <c r="C582" s="184">
        <v>0.82795698924731187</v>
      </c>
      <c r="D582" s="177">
        <v>91463414.634146348</v>
      </c>
      <c r="E582" s="26"/>
      <c r="F582" s="184">
        <v>1.6683333333333328E-2</v>
      </c>
      <c r="G582" s="177">
        <v>7454268292.6829271</v>
      </c>
      <c r="H582" s="177">
        <v>9777231000</v>
      </c>
      <c r="I582" s="175">
        <v>0.76241098248399031</v>
      </c>
      <c r="J582" s="177">
        <v>15.005345264491606</v>
      </c>
    </row>
    <row r="583" spans="1:10">
      <c r="A583" s="65">
        <v>2009</v>
      </c>
      <c r="B583" s="175">
        <v>-0.12</v>
      </c>
      <c r="C583" s="184">
        <v>0.49693251533742333</v>
      </c>
      <c r="D583" s="177">
        <v>358333333.33333337</v>
      </c>
      <c r="E583" s="26"/>
      <c r="F583" s="184">
        <v>-5.5583333333333361E-3</v>
      </c>
      <c r="G583" s="177">
        <v>2666000000.0000005</v>
      </c>
      <c r="H583" s="177">
        <v>3490575000</v>
      </c>
      <c r="I583" s="175">
        <v>0.76377101193929375</v>
      </c>
      <c r="J583" s="177">
        <v>0</v>
      </c>
    </row>
    <row r="584" spans="1:10">
      <c r="A584" s="65">
        <v>4739</v>
      </c>
      <c r="B584" s="175">
        <v>0.44</v>
      </c>
      <c r="C584" s="184">
        <v>0.69620253164556967</v>
      </c>
      <c r="D584" s="177">
        <v>68181818.181818187</v>
      </c>
      <c r="E584" s="26"/>
      <c r="F584" s="184">
        <v>2.6383333333333338E-2</v>
      </c>
      <c r="G584" s="177">
        <v>2890909090.909091</v>
      </c>
      <c r="H584" s="177">
        <v>3776506000</v>
      </c>
      <c r="I584" s="175">
        <v>0.76549834447743259</v>
      </c>
      <c r="J584" s="177">
        <v>34.603305785123965</v>
      </c>
    </row>
    <row r="585" spans="1:10">
      <c r="A585" s="65">
        <v>2404</v>
      </c>
      <c r="B585" s="175">
        <v>1.84</v>
      </c>
      <c r="C585" s="184">
        <v>0.45151033386327505</v>
      </c>
      <c r="D585" s="177">
        <v>236956521.73913044</v>
      </c>
      <c r="E585" s="26"/>
      <c r="F585" s="184">
        <v>8.1499999999999989E-2</v>
      </c>
      <c r="G585" s="177">
        <v>9051739130.4347839</v>
      </c>
      <c r="H585" s="177">
        <v>11791629000</v>
      </c>
      <c r="I585" s="175">
        <v>0.76764110628266746</v>
      </c>
      <c r="J585" s="177">
        <v>11.49523499693815</v>
      </c>
    </row>
    <row r="586" spans="1:10">
      <c r="A586" s="65">
        <v>6443</v>
      </c>
      <c r="B586" s="175">
        <v>-0.22</v>
      </c>
      <c r="C586" s="184">
        <v>0</v>
      </c>
      <c r="D586" s="177">
        <v>309090909.09090906</v>
      </c>
      <c r="E586" s="26"/>
      <c r="F586" s="184">
        <v>2.3391666666666668E-2</v>
      </c>
      <c r="G586" s="177">
        <v>5285454545.454545</v>
      </c>
      <c r="H586" s="177">
        <v>6882788000</v>
      </c>
      <c r="I586" s="175">
        <v>0.76792348470627669</v>
      </c>
      <c r="J586" s="177">
        <v>0</v>
      </c>
    </row>
    <row r="587" spans="1:10">
      <c r="A587" s="65">
        <v>3625</v>
      </c>
      <c r="B587" s="175">
        <v>-0.04</v>
      </c>
      <c r="C587" s="184">
        <v>1</v>
      </c>
      <c r="D587" s="177">
        <v>50000000</v>
      </c>
      <c r="E587" s="26"/>
      <c r="F587" s="184">
        <v>4.6116666666666674E-2</v>
      </c>
      <c r="G587" s="177">
        <v>562500000</v>
      </c>
      <c r="H587" s="177">
        <v>731810000</v>
      </c>
      <c r="I587" s="175">
        <v>0.76864213388721114</v>
      </c>
      <c r="J587" s="177">
        <v>0</v>
      </c>
    </row>
    <row r="588" spans="1:10">
      <c r="A588" s="65">
        <v>4934</v>
      </c>
      <c r="B588" s="175">
        <v>-0.11</v>
      </c>
      <c r="C588" s="184">
        <v>1</v>
      </c>
      <c r="D588" s="177">
        <v>300000000</v>
      </c>
      <c r="E588" s="26"/>
      <c r="F588" s="184">
        <v>4.7274999999999991E-2</v>
      </c>
      <c r="G588" s="177">
        <v>5640000000</v>
      </c>
      <c r="H588" s="177">
        <v>7310801000</v>
      </c>
      <c r="I588" s="175">
        <v>0.77146129404972175</v>
      </c>
      <c r="J588" s="177">
        <v>0</v>
      </c>
    </row>
    <row r="589" spans="1:10">
      <c r="A589" s="65">
        <v>1323</v>
      </c>
      <c r="B589" s="175">
        <v>0.44</v>
      </c>
      <c r="C589" s="184">
        <v>1</v>
      </c>
      <c r="D589" s="177">
        <v>90909090.909090906</v>
      </c>
      <c r="E589" s="26"/>
      <c r="F589" s="184">
        <v>5.8750000000000017E-3</v>
      </c>
      <c r="G589" s="177">
        <v>2454545454.5454545</v>
      </c>
      <c r="H589" s="177">
        <v>3176482000</v>
      </c>
      <c r="I589" s="175">
        <v>0.77272449664296994</v>
      </c>
      <c r="J589" s="177">
        <v>15.340909090909092</v>
      </c>
    </row>
    <row r="590" spans="1:10">
      <c r="A590" s="65">
        <v>2344</v>
      </c>
      <c r="B590" s="175">
        <v>0.18</v>
      </c>
      <c r="C590" s="184">
        <v>0.92259675405742825</v>
      </c>
      <c r="D590" s="177">
        <v>3738888888.8888888</v>
      </c>
      <c r="E590" s="26"/>
      <c r="F590" s="184">
        <v>5.9916666666666668E-3</v>
      </c>
      <c r="G590" s="177">
        <v>29574611111.111111</v>
      </c>
      <c r="H590" s="177">
        <v>38256968000</v>
      </c>
      <c r="I590" s="175">
        <v>0.77305162058611421</v>
      </c>
      <c r="J590" s="177">
        <v>11.907814614343708</v>
      </c>
    </row>
    <row r="591" spans="1:10">
      <c r="A591" s="65">
        <v>1517</v>
      </c>
      <c r="B591" s="175">
        <v>0.24</v>
      </c>
      <c r="C591" s="184">
        <v>0.61016949152542377</v>
      </c>
      <c r="D591" s="177">
        <v>229166666.66666669</v>
      </c>
      <c r="E591" s="26"/>
      <c r="F591" s="184">
        <v>1.2966666666666661E-2</v>
      </c>
      <c r="G591" s="177">
        <v>2853125000</v>
      </c>
      <c r="H591" s="177">
        <v>3689487000</v>
      </c>
      <c r="I591" s="175">
        <v>0.77331211629150609</v>
      </c>
      <c r="J591" s="177">
        <v>21.254340277777779</v>
      </c>
    </row>
    <row r="592" spans="1:10">
      <c r="A592" s="65">
        <v>2429</v>
      </c>
      <c r="B592" s="175">
        <v>-0.1</v>
      </c>
      <c r="C592" s="184">
        <v>1</v>
      </c>
      <c r="D592" s="177">
        <v>40000000</v>
      </c>
      <c r="E592" s="26"/>
      <c r="F592" s="184">
        <v>9.6416666666666647E-3</v>
      </c>
      <c r="G592" s="177">
        <v>568000000</v>
      </c>
      <c r="H592" s="177">
        <v>733119000</v>
      </c>
      <c r="I592" s="175">
        <v>0.77477189924146017</v>
      </c>
      <c r="J592" s="177">
        <v>0</v>
      </c>
    </row>
    <row r="593" spans="1:11">
      <c r="A593" s="65">
        <v>3573</v>
      </c>
      <c r="B593" s="175">
        <v>-1.4</v>
      </c>
      <c r="C593" s="184">
        <v>0.90614886731391586</v>
      </c>
      <c r="D593" s="177">
        <v>136428571.42857143</v>
      </c>
      <c r="E593" s="26"/>
      <c r="F593" s="184">
        <v>1.714166666666667E-2</v>
      </c>
      <c r="G593" s="177">
        <v>2523928571.4285717</v>
      </c>
      <c r="H593" s="177">
        <v>3255920000</v>
      </c>
      <c r="I593" s="175">
        <v>0.77518138388798608</v>
      </c>
      <c r="J593" s="177">
        <v>0</v>
      </c>
    </row>
    <row r="594" spans="1:11">
      <c r="A594" s="65">
        <v>1203</v>
      </c>
      <c r="B594" s="180">
        <v>0.36</v>
      </c>
      <c r="C594" s="184">
        <v>0.70443349753694584</v>
      </c>
      <c r="D594" s="181">
        <v>236111111.11111113</v>
      </c>
      <c r="E594" s="32"/>
      <c r="F594" s="184">
        <v>7.6583333333333337E-2</v>
      </c>
      <c r="G594" s="181">
        <v>5170833333.333334</v>
      </c>
      <c r="H594" s="181">
        <v>6662767000</v>
      </c>
      <c r="I594" s="180">
        <v>0.77607896739197602</v>
      </c>
      <c r="J594" s="181">
        <v>21.589452214452212</v>
      </c>
    </row>
    <row r="595" spans="1:11">
      <c r="A595" s="65">
        <v>2489</v>
      </c>
      <c r="B595" s="175">
        <v>0.14000000000000001</v>
      </c>
      <c r="C595" s="184">
        <v>0</v>
      </c>
      <c r="D595" s="177">
        <v>864285714.28571415</v>
      </c>
      <c r="E595" s="26"/>
      <c r="F595" s="184">
        <v>0.10443333333333336</v>
      </c>
      <c r="G595" s="177">
        <v>14303928571.42857</v>
      </c>
      <c r="H595" s="177">
        <v>18402164000</v>
      </c>
      <c r="I595" s="175">
        <v>0.77729600559089518</v>
      </c>
      <c r="J595" s="177">
        <v>0</v>
      </c>
    </row>
    <row r="596" spans="1:11">
      <c r="A596" s="65">
        <v>8234</v>
      </c>
      <c r="B596" s="175">
        <v>0.31</v>
      </c>
      <c r="C596" s="184">
        <v>1</v>
      </c>
      <c r="D596" s="177">
        <v>138709677.41935483</v>
      </c>
      <c r="E596" s="26"/>
      <c r="F596" s="184">
        <v>1.3883333333333338E-2</v>
      </c>
      <c r="G596" s="177">
        <v>4223709677.4193544</v>
      </c>
      <c r="H596" s="177">
        <v>5433376000</v>
      </c>
      <c r="I596" s="175">
        <v>0.77736377482790708</v>
      </c>
      <c r="J596" s="177">
        <v>24.556451612903224</v>
      </c>
      <c r="K596" s="32"/>
    </row>
    <row r="597" spans="1:11">
      <c r="A597" s="65">
        <v>5525</v>
      </c>
      <c r="B597" s="175">
        <v>1.27</v>
      </c>
      <c r="C597" s="184">
        <v>1</v>
      </c>
      <c r="D597" s="177">
        <v>238582677.16535434</v>
      </c>
      <c r="E597" s="26"/>
      <c r="F597" s="184">
        <v>1.0076916666666669</v>
      </c>
      <c r="G597" s="177">
        <v>3853110236.2204723</v>
      </c>
      <c r="H597" s="177">
        <v>4950048000</v>
      </c>
      <c r="I597" s="175">
        <v>0.77839856022011755</v>
      </c>
      <c r="J597" s="177">
        <v>3.1791338582677162</v>
      </c>
    </row>
    <row r="598" spans="1:11">
      <c r="A598" s="65">
        <v>3693</v>
      </c>
      <c r="B598" s="175">
        <v>1.34</v>
      </c>
      <c r="C598" s="184">
        <v>1</v>
      </c>
      <c r="D598" s="177">
        <v>38059701.492537312</v>
      </c>
      <c r="E598" s="26"/>
      <c r="F598" s="184">
        <v>0.13569166666666668</v>
      </c>
      <c r="G598" s="177">
        <v>3958208955.2238803</v>
      </c>
      <c r="H598" s="177">
        <v>5084354000</v>
      </c>
      <c r="I598" s="175">
        <v>0.77850774262057287</v>
      </c>
      <c r="J598" s="177">
        <v>19.402985074626866</v>
      </c>
      <c r="K598" s="32"/>
    </row>
    <row r="599" spans="1:11">
      <c r="A599" s="65">
        <v>6173</v>
      </c>
      <c r="B599" s="175">
        <v>0.16</v>
      </c>
      <c r="C599" s="184">
        <v>0.88888888888888884</v>
      </c>
      <c r="D599" s="177">
        <v>187500000</v>
      </c>
      <c r="E599" s="26"/>
      <c r="F599" s="184">
        <v>-8.6666666666666836E-4</v>
      </c>
      <c r="G599" s="177">
        <v>1884375000.0000002</v>
      </c>
      <c r="H599" s="177">
        <v>2410050000</v>
      </c>
      <c r="I599" s="175">
        <v>0.7818821186282443</v>
      </c>
      <c r="J599" s="177">
        <v>17.666015625</v>
      </c>
    </row>
    <row r="600" spans="1:11">
      <c r="A600" s="65">
        <v>6506</v>
      </c>
      <c r="B600" s="175">
        <v>0.65</v>
      </c>
      <c r="C600" s="184">
        <v>1</v>
      </c>
      <c r="D600" s="177">
        <v>67692307.692307696</v>
      </c>
      <c r="E600" s="26"/>
      <c r="F600" s="184">
        <v>3.178333333333333E-2</v>
      </c>
      <c r="G600" s="177">
        <v>1509538461.5384617</v>
      </c>
      <c r="H600" s="177">
        <v>1925141000</v>
      </c>
      <c r="I600" s="175">
        <v>0.78411839004959205</v>
      </c>
      <c r="J600" s="177">
        <v>8.5769230769230766</v>
      </c>
    </row>
    <row r="601" spans="1:11">
      <c r="A601" s="65">
        <v>3057</v>
      </c>
      <c r="B601" s="175">
        <v>0.03</v>
      </c>
      <c r="C601" s="184">
        <v>1</v>
      </c>
      <c r="D601" s="177">
        <v>133333333.33333334</v>
      </c>
      <c r="E601" s="26"/>
      <c r="F601" s="184">
        <v>-6.0833333333333345E-4</v>
      </c>
      <c r="G601" s="177">
        <v>2500000000</v>
      </c>
      <c r="H601" s="177">
        <v>3187451000</v>
      </c>
      <c r="I601" s="175">
        <v>0.78432578257673613</v>
      </c>
      <c r="J601" s="177">
        <v>50</v>
      </c>
    </row>
    <row r="602" spans="1:11">
      <c r="A602" s="65">
        <v>2402</v>
      </c>
      <c r="B602" s="175">
        <v>0.16</v>
      </c>
      <c r="C602" s="184">
        <v>1</v>
      </c>
      <c r="D602" s="177">
        <v>337500000</v>
      </c>
      <c r="E602" s="26"/>
      <c r="F602" s="184">
        <v>-2.2991666666666671E-2</v>
      </c>
      <c r="G602" s="177">
        <v>6209999999.999999</v>
      </c>
      <c r="H602" s="177">
        <v>7903914000</v>
      </c>
      <c r="I602" s="175">
        <v>0.78568668636829786</v>
      </c>
      <c r="J602" s="177">
        <v>28.749999999999996</v>
      </c>
    </row>
    <row r="603" spans="1:11">
      <c r="A603" s="65">
        <v>1732</v>
      </c>
      <c r="B603" s="175">
        <v>-0.11</v>
      </c>
      <c r="C603" s="184">
        <v>1</v>
      </c>
      <c r="D603" s="177">
        <v>36363636.363636367</v>
      </c>
      <c r="E603" s="26"/>
      <c r="F603" s="184">
        <v>2.0416666666666666E-2</v>
      </c>
      <c r="G603" s="177">
        <v>474545454.54545462</v>
      </c>
      <c r="H603" s="177">
        <v>603361000</v>
      </c>
      <c r="I603" s="175">
        <v>0.78650336124717146</v>
      </c>
      <c r="J603" s="177">
        <v>0</v>
      </c>
    </row>
    <row r="604" spans="1:11">
      <c r="A604" s="65">
        <v>2355</v>
      </c>
      <c r="B604" s="175">
        <v>0.79</v>
      </c>
      <c r="C604" s="184">
        <v>0.79190751445086704</v>
      </c>
      <c r="D604" s="177">
        <v>397468354.43037975</v>
      </c>
      <c r="E604" s="26"/>
      <c r="F604" s="184">
        <v>1.4158333333333334E-2</v>
      </c>
      <c r="G604" s="177">
        <v>17687341772.151897</v>
      </c>
      <c r="H604" s="177">
        <v>22467055000</v>
      </c>
      <c r="I604" s="175">
        <v>0.78725679766003587</v>
      </c>
      <c r="J604" s="177">
        <v>17.782731220548829</v>
      </c>
    </row>
    <row r="605" spans="1:11">
      <c r="A605" s="65">
        <v>8024</v>
      </c>
      <c r="B605" s="175">
        <v>0.18</v>
      </c>
      <c r="C605" s="184">
        <v>1</v>
      </c>
      <c r="D605" s="177">
        <v>44444444.444444448</v>
      </c>
      <c r="E605" s="26"/>
      <c r="F605" s="184">
        <v>2.576666666666666E-2</v>
      </c>
      <c r="G605" s="177">
        <v>502222222.22222227</v>
      </c>
      <c r="H605" s="177">
        <v>637370000</v>
      </c>
      <c r="I605" s="175">
        <v>0.78796024635960626</v>
      </c>
      <c r="J605" s="177">
        <v>15.694444444444446</v>
      </c>
    </row>
    <row r="606" spans="1:11">
      <c r="A606" s="65">
        <v>6115</v>
      </c>
      <c r="B606" s="175">
        <v>0.55000000000000004</v>
      </c>
      <c r="C606" s="184">
        <v>0.87709497206703912</v>
      </c>
      <c r="D606" s="177">
        <v>178181818.18181816</v>
      </c>
      <c r="E606" s="26"/>
      <c r="F606" s="184">
        <v>1.3949999999999995E-2</v>
      </c>
      <c r="G606" s="177">
        <v>5683999999.999999</v>
      </c>
      <c r="H606" s="177">
        <v>7213420000</v>
      </c>
      <c r="I606" s="175">
        <v>0.78797574520823677</v>
      </c>
      <c r="J606" s="177">
        <v>16.53184713375796</v>
      </c>
    </row>
    <row r="607" spans="1:11">
      <c r="A607" s="65">
        <v>6182</v>
      </c>
      <c r="B607" s="175">
        <v>0.11</v>
      </c>
      <c r="C607" s="184">
        <v>1</v>
      </c>
      <c r="D607" s="177">
        <v>372727272.72727275</v>
      </c>
      <c r="E607" s="26"/>
      <c r="F607" s="184">
        <v>1.0416666666666688E-3</v>
      </c>
      <c r="G607" s="177">
        <v>4174545454.5454545</v>
      </c>
      <c r="H607" s="177">
        <v>5279732000</v>
      </c>
      <c r="I607" s="175">
        <v>0.7906737414977606</v>
      </c>
      <c r="J607" s="177">
        <v>25.454545454545453</v>
      </c>
    </row>
    <row r="608" spans="1:11">
      <c r="A608" s="65">
        <v>5305</v>
      </c>
      <c r="B608" s="175">
        <v>1.25</v>
      </c>
      <c r="C608" s="184">
        <v>0</v>
      </c>
      <c r="D608" s="177">
        <v>316000000</v>
      </c>
      <c r="E608" s="26"/>
      <c r="F608" s="184">
        <v>7.2916666666666642E-3</v>
      </c>
      <c r="G608" s="177">
        <v>7362800000</v>
      </c>
      <c r="H608" s="177">
        <v>9299015000</v>
      </c>
      <c r="I608" s="175">
        <v>0.79178278559610882</v>
      </c>
      <c r="J608" s="177">
        <v>0</v>
      </c>
    </row>
    <row r="609" spans="1:10">
      <c r="A609" s="65">
        <v>3078</v>
      </c>
      <c r="B609" s="175">
        <v>0.35</v>
      </c>
      <c r="C609" s="184">
        <v>0.8497109826589595</v>
      </c>
      <c r="D609" s="177">
        <v>231428571.42857143</v>
      </c>
      <c r="E609" s="26"/>
      <c r="F609" s="184">
        <v>4.0208333333333325E-2</v>
      </c>
      <c r="G609" s="177">
        <v>4096285714.2857141</v>
      </c>
      <c r="H609" s="177">
        <v>5165705000</v>
      </c>
      <c r="I609" s="175">
        <v>0.79297708914576315</v>
      </c>
      <c r="J609" s="177">
        <v>14.879008746355685</v>
      </c>
    </row>
    <row r="610" spans="1:10">
      <c r="A610" s="65">
        <v>4721</v>
      </c>
      <c r="B610" s="175">
        <v>0.17</v>
      </c>
      <c r="C610" s="184">
        <v>0.45161290322580644</v>
      </c>
      <c r="D610" s="177">
        <v>76470588.235294119</v>
      </c>
      <c r="E610" s="26"/>
      <c r="F610" s="184">
        <v>1.7258333333333348E-2</v>
      </c>
      <c r="G610" s="177">
        <v>1712941176.4705882</v>
      </c>
      <c r="H610" s="177">
        <v>2159463000</v>
      </c>
      <c r="I610" s="175">
        <v>0.79322552711974603</v>
      </c>
      <c r="J610" s="177">
        <v>50</v>
      </c>
    </row>
    <row r="611" spans="1:10">
      <c r="A611" s="65">
        <v>6164</v>
      </c>
      <c r="B611" s="175">
        <v>0.21</v>
      </c>
      <c r="C611" s="184">
        <v>1</v>
      </c>
      <c r="D611" s="177">
        <v>119047619.04761904</v>
      </c>
      <c r="E611" s="26"/>
      <c r="F611" s="184">
        <v>2.2500000000000024E-3</v>
      </c>
      <c r="G611" s="177">
        <v>1369047619.0476191</v>
      </c>
      <c r="H611" s="177">
        <v>1724192000</v>
      </c>
      <c r="I611" s="175">
        <v>0.79402271849516703</v>
      </c>
      <c r="J611" s="177">
        <v>13.690476190476192</v>
      </c>
    </row>
    <row r="612" spans="1:10">
      <c r="A612" s="65">
        <v>2492</v>
      </c>
      <c r="B612" s="175">
        <v>0.46</v>
      </c>
      <c r="C612" s="184">
        <v>0.51777777777777778</v>
      </c>
      <c r="D612" s="177">
        <v>676086956.52173913</v>
      </c>
      <c r="E612" s="26"/>
      <c r="F612" s="184">
        <v>1.8150000000000003E-2</v>
      </c>
      <c r="G612" s="177">
        <v>12473804347.826086</v>
      </c>
      <c r="H612" s="177">
        <v>15600116000</v>
      </c>
      <c r="I612" s="175">
        <v>0.79959689708884762</v>
      </c>
      <c r="J612" s="177">
        <v>19.365786527337189</v>
      </c>
    </row>
    <row r="613" spans="1:10">
      <c r="A613" s="65">
        <v>8039</v>
      </c>
      <c r="B613" s="175">
        <v>0.81</v>
      </c>
      <c r="C613" s="184">
        <v>1</v>
      </c>
      <c r="D613" s="177">
        <v>201234567.90123457</v>
      </c>
      <c r="E613" s="26"/>
      <c r="F613" s="184">
        <v>1.8333333333333337E-2</v>
      </c>
      <c r="G613" s="177">
        <v>7958827160.4938269</v>
      </c>
      <c r="H613" s="177">
        <v>9946955000</v>
      </c>
      <c r="I613" s="175">
        <v>0.80012698966606632</v>
      </c>
      <c r="J613" s="177">
        <v>12.206790123456788</v>
      </c>
    </row>
    <row r="614" spans="1:10">
      <c r="A614" s="65">
        <v>5439</v>
      </c>
      <c r="B614" s="175">
        <v>0.32</v>
      </c>
      <c r="C614" s="184">
        <v>1</v>
      </c>
      <c r="D614" s="177">
        <v>78125000</v>
      </c>
      <c r="E614" s="26"/>
      <c r="F614" s="184">
        <v>8.8333333333333337E-3</v>
      </c>
      <c r="G614" s="177">
        <v>1472656250</v>
      </c>
      <c r="H614" s="177">
        <v>1836996000</v>
      </c>
      <c r="I614" s="175">
        <v>0.80166546361559854</v>
      </c>
      <c r="J614" s="177">
        <v>14.7265625</v>
      </c>
    </row>
    <row r="615" spans="1:10">
      <c r="A615" s="65">
        <v>1582</v>
      </c>
      <c r="B615" s="175">
        <v>1.1599999999999999</v>
      </c>
      <c r="C615" s="184">
        <v>0.8498498498498499</v>
      </c>
      <c r="D615" s="177">
        <v>150000000</v>
      </c>
      <c r="E615" s="26"/>
      <c r="F615" s="184">
        <v>1.750000000000005E-3</v>
      </c>
      <c r="G615" s="177">
        <v>7875000000</v>
      </c>
      <c r="H615" s="177">
        <v>9811239000</v>
      </c>
      <c r="I615" s="175">
        <v>0.8026509190123694</v>
      </c>
      <c r="J615" s="177">
        <v>13.313710856585843</v>
      </c>
    </row>
    <row r="616" spans="1:10">
      <c r="A616" s="65">
        <v>5340</v>
      </c>
      <c r="B616" s="175">
        <v>-0.1</v>
      </c>
      <c r="C616" s="184">
        <v>1</v>
      </c>
      <c r="D616" s="177">
        <v>190000000</v>
      </c>
      <c r="E616" s="26"/>
      <c r="F616" s="184">
        <v>1.5824999999999999E-2</v>
      </c>
      <c r="G616" s="177">
        <v>750500000</v>
      </c>
      <c r="H616" s="177">
        <v>934436000</v>
      </c>
      <c r="I616" s="175">
        <v>0.80315826873108487</v>
      </c>
      <c r="J616" s="177">
        <v>0</v>
      </c>
    </row>
    <row r="617" spans="1:10">
      <c r="A617" s="65">
        <v>8092</v>
      </c>
      <c r="B617" s="175">
        <v>-0.25</v>
      </c>
      <c r="C617" s="184">
        <v>1</v>
      </c>
      <c r="D617" s="177">
        <v>40000000</v>
      </c>
      <c r="E617" s="26"/>
      <c r="F617" s="184">
        <v>4.8416666666666663E-2</v>
      </c>
      <c r="G617" s="177">
        <v>343600000</v>
      </c>
      <c r="H617" s="177">
        <v>426721000</v>
      </c>
      <c r="I617" s="175">
        <v>0.80520996154395963</v>
      </c>
      <c r="J617" s="177">
        <v>0</v>
      </c>
    </row>
    <row r="618" spans="1:10">
      <c r="A618" s="65">
        <v>2388</v>
      </c>
      <c r="B618" s="175">
        <v>-0.16</v>
      </c>
      <c r="C618" s="184">
        <v>1</v>
      </c>
      <c r="D618" s="177">
        <v>487500000</v>
      </c>
      <c r="E618" s="26"/>
      <c r="F618" s="184">
        <v>1.8091666666666659E-2</v>
      </c>
      <c r="G618" s="177">
        <v>3895125000</v>
      </c>
      <c r="H618" s="177">
        <v>4835083000</v>
      </c>
      <c r="I618" s="175">
        <v>0.80559630517201053</v>
      </c>
      <c r="J618" s="177">
        <v>0</v>
      </c>
    </row>
    <row r="619" spans="1:10">
      <c r="A619" s="65">
        <v>3419</v>
      </c>
      <c r="B619" s="175">
        <v>-0.41</v>
      </c>
      <c r="C619" s="184">
        <v>0.8771929824561403</v>
      </c>
      <c r="D619" s="177">
        <v>119512195.12195122</v>
      </c>
      <c r="E619" s="26"/>
      <c r="F619" s="184">
        <v>2.7391666666666675E-2</v>
      </c>
      <c r="G619" s="177">
        <v>1715000000</v>
      </c>
      <c r="H619" s="177">
        <v>2120475000</v>
      </c>
      <c r="I619" s="175">
        <v>0.80878105141536683</v>
      </c>
      <c r="J619" s="177">
        <v>0</v>
      </c>
    </row>
    <row r="620" spans="1:10">
      <c r="A620" s="65">
        <v>2337</v>
      </c>
      <c r="B620" s="175">
        <v>-0.35</v>
      </c>
      <c r="C620" s="184">
        <v>1</v>
      </c>
      <c r="D620" s="177">
        <v>3488571428.5714288</v>
      </c>
      <c r="E620" s="26"/>
      <c r="F620" s="184">
        <v>-1.1824999999999997E-2</v>
      </c>
      <c r="G620" s="177">
        <v>16849800000.000002</v>
      </c>
      <c r="H620" s="177">
        <v>20826032000</v>
      </c>
      <c r="I620" s="175">
        <v>0.80907395129326609</v>
      </c>
      <c r="J620" s="177">
        <v>0</v>
      </c>
    </row>
    <row r="621" spans="1:10">
      <c r="A621" s="65">
        <v>8291</v>
      </c>
      <c r="B621" s="175">
        <v>-0.21</v>
      </c>
      <c r="C621" s="184">
        <v>1</v>
      </c>
      <c r="D621" s="177">
        <v>76190476.190476194</v>
      </c>
      <c r="E621" s="26"/>
      <c r="F621" s="184">
        <v>-3.6166666666666643E-3</v>
      </c>
      <c r="G621" s="177">
        <v>423619047.61904758</v>
      </c>
      <c r="H621" s="177">
        <v>523572000</v>
      </c>
      <c r="I621" s="175">
        <v>0.80909416015189428</v>
      </c>
      <c r="J621" s="177">
        <v>0</v>
      </c>
    </row>
    <row r="622" spans="1:10">
      <c r="A622" s="65">
        <v>4430</v>
      </c>
      <c r="B622" s="175">
        <v>0.77</v>
      </c>
      <c r="C622" s="184">
        <v>0.78481012658227844</v>
      </c>
      <c r="D622" s="177">
        <v>55844155.844155841</v>
      </c>
      <c r="E622" s="26"/>
      <c r="F622" s="184">
        <v>1.8700000000000001E-2</v>
      </c>
      <c r="G622" s="177">
        <v>1636233766.2337661</v>
      </c>
      <c r="H622" s="177">
        <v>2017301000</v>
      </c>
      <c r="I622" s="175">
        <v>0.81110045859976576</v>
      </c>
      <c r="J622" s="177">
        <v>12.121386677838291</v>
      </c>
    </row>
    <row r="623" spans="1:10">
      <c r="A623" s="65">
        <v>3479</v>
      </c>
      <c r="B623" s="175">
        <v>0.6</v>
      </c>
      <c r="C623" s="184">
        <v>0.96666666666666667</v>
      </c>
      <c r="D623" s="177">
        <v>68333333.333333343</v>
      </c>
      <c r="E623" s="26"/>
      <c r="F623" s="184">
        <v>4.1966666666666659E-2</v>
      </c>
      <c r="G623" s="177">
        <v>3396166666.6666675</v>
      </c>
      <c r="H623" s="177">
        <v>4177254000</v>
      </c>
      <c r="I623" s="175">
        <v>0.8130141635310344</v>
      </c>
      <c r="J623" s="177">
        <v>21.422413793103452</v>
      </c>
    </row>
    <row r="624" spans="1:10">
      <c r="A624" s="65">
        <v>3698</v>
      </c>
      <c r="B624" s="175">
        <v>7.0000000000000007E-2</v>
      </c>
      <c r="C624" s="184">
        <v>0.96116504854368934</v>
      </c>
      <c r="D624" s="177">
        <v>614285714.28571427</v>
      </c>
      <c r="E624" s="26"/>
      <c r="F624" s="184">
        <v>1.6783333333333327E-2</v>
      </c>
      <c r="G624" s="177">
        <v>11517857142.857143</v>
      </c>
      <c r="H624" s="177">
        <v>14140714000</v>
      </c>
      <c r="I624" s="175">
        <v>0.81451736757119497</v>
      </c>
      <c r="J624" s="177">
        <v>50</v>
      </c>
    </row>
    <row r="625" spans="1:10">
      <c r="A625" s="65">
        <v>1717</v>
      </c>
      <c r="B625" s="175">
        <v>0.64</v>
      </c>
      <c r="C625" s="184">
        <v>1</v>
      </c>
      <c r="D625" s="177">
        <v>1025000000</v>
      </c>
      <c r="E625" s="26"/>
      <c r="F625" s="184">
        <v>1.1108333333333333E-2</v>
      </c>
      <c r="G625" s="177">
        <v>31980000000</v>
      </c>
      <c r="H625" s="177">
        <v>39219601000</v>
      </c>
      <c r="I625" s="175">
        <v>0.81540860142865812</v>
      </c>
      <c r="J625" s="177">
        <v>12.1875</v>
      </c>
    </row>
    <row r="626" spans="1:10">
      <c r="A626" s="65">
        <v>5304</v>
      </c>
      <c r="B626" s="175">
        <v>-0.38</v>
      </c>
      <c r="C626" s="184">
        <v>0.3141025641025641</v>
      </c>
      <c r="D626" s="177">
        <v>186842105.2631579</v>
      </c>
      <c r="E626" s="26"/>
      <c r="F626" s="184">
        <v>6.4633333333333334E-2</v>
      </c>
      <c r="G626" s="177">
        <v>640868421.05263162</v>
      </c>
      <c r="H626" s="177">
        <v>785892000</v>
      </c>
      <c r="I626" s="175">
        <v>0.81546627405881678</v>
      </c>
      <c r="J626" s="177">
        <v>0</v>
      </c>
    </row>
    <row r="627" spans="1:10">
      <c r="A627" s="65">
        <v>3018</v>
      </c>
      <c r="B627" s="175">
        <v>7.0000000000000007E-2</v>
      </c>
      <c r="C627" s="184">
        <v>0</v>
      </c>
      <c r="D627" s="177">
        <v>57142857.142857134</v>
      </c>
      <c r="E627" s="26"/>
      <c r="F627" s="184">
        <v>-8.9666666666666645E-3</v>
      </c>
      <c r="G627" s="177">
        <v>1034285714.2857143</v>
      </c>
      <c r="H627" s="177">
        <v>1268263000</v>
      </c>
      <c r="I627" s="175">
        <v>0.81551359164914083</v>
      </c>
      <c r="J627" s="177">
        <v>0</v>
      </c>
    </row>
    <row r="628" spans="1:10">
      <c r="A628" s="65">
        <v>3628</v>
      </c>
      <c r="B628" s="175">
        <v>1.1299999999999999</v>
      </c>
      <c r="C628" s="184">
        <v>0.95192307692307687</v>
      </c>
      <c r="D628" s="177">
        <v>45132743.362831861</v>
      </c>
      <c r="E628" s="26"/>
      <c r="F628" s="184">
        <v>-8.7749999999999929E-3</v>
      </c>
      <c r="G628" s="177">
        <v>2279203539.823009</v>
      </c>
      <c r="H628" s="177">
        <v>2790291000</v>
      </c>
      <c r="I628" s="175">
        <v>0.8168336348513503</v>
      </c>
      <c r="J628" s="177">
        <v>11.736837400554217</v>
      </c>
    </row>
    <row r="629" spans="1:10">
      <c r="A629" s="65">
        <v>1108</v>
      </c>
      <c r="B629" s="180">
        <v>0.39</v>
      </c>
      <c r="C629" s="184">
        <v>1</v>
      </c>
      <c r="D629" s="181">
        <v>407692307.69230765</v>
      </c>
      <c r="E629" s="32"/>
      <c r="F629" s="184">
        <v>1.7333333333333343E-3</v>
      </c>
      <c r="G629" s="181">
        <v>4199230769.2307692</v>
      </c>
      <c r="H629" s="181">
        <v>5137359000</v>
      </c>
      <c r="I629" s="180">
        <v>0.81739095306182985</v>
      </c>
      <c r="J629" s="181">
        <v>6.6025641025641031</v>
      </c>
    </row>
    <row r="630" spans="1:10">
      <c r="A630" s="65">
        <v>3646</v>
      </c>
      <c r="B630" s="175">
        <v>-0.14000000000000001</v>
      </c>
      <c r="C630" s="184">
        <v>0.16666666666666666</v>
      </c>
      <c r="D630" s="177">
        <v>35714285.714285709</v>
      </c>
      <c r="E630" s="26"/>
      <c r="F630" s="184">
        <v>2.1749999999999992E-2</v>
      </c>
      <c r="G630" s="177">
        <v>466071428.57142854</v>
      </c>
      <c r="H630" s="177">
        <v>569785000</v>
      </c>
      <c r="I630" s="175">
        <v>0.81797770838373862</v>
      </c>
      <c r="J630" s="177">
        <v>0</v>
      </c>
    </row>
    <row r="631" spans="1:10">
      <c r="A631" s="65">
        <v>1444</v>
      </c>
      <c r="B631" s="175">
        <v>0.12</v>
      </c>
      <c r="C631" s="184">
        <v>1</v>
      </c>
      <c r="D631" s="177">
        <v>925000000</v>
      </c>
      <c r="E631" s="26"/>
      <c r="F631" s="184">
        <v>-9.4333333333333335E-3</v>
      </c>
      <c r="G631" s="177">
        <v>8713500000</v>
      </c>
      <c r="H631" s="177">
        <v>10646006000</v>
      </c>
      <c r="I631" s="175">
        <v>0.81847596178322646</v>
      </c>
      <c r="J631" s="177">
        <v>19.625</v>
      </c>
    </row>
    <row r="632" spans="1:10">
      <c r="A632" s="65">
        <v>5520</v>
      </c>
      <c r="B632" s="175">
        <v>0.66</v>
      </c>
      <c r="C632" s="184">
        <v>0.65</v>
      </c>
      <c r="D632" s="177">
        <v>71212121.212121204</v>
      </c>
      <c r="E632" s="26"/>
      <c r="F632" s="184">
        <v>1.5716666666666667E-2</v>
      </c>
      <c r="G632" s="177">
        <v>1922727272.7272725</v>
      </c>
      <c r="H632" s="177">
        <v>2344564000</v>
      </c>
      <c r="I632" s="175">
        <v>0.8200788175231184</v>
      </c>
      <c r="J632" s="177">
        <v>15.734265734265733</v>
      </c>
    </row>
    <row r="633" spans="1:10">
      <c r="A633" s="65">
        <v>5903</v>
      </c>
      <c r="B633" s="175">
        <v>1.64</v>
      </c>
      <c r="C633" s="184">
        <v>0.79112754158964882</v>
      </c>
      <c r="D633" s="177">
        <v>223780487.80487806</v>
      </c>
      <c r="E633" s="26"/>
      <c r="F633" s="184">
        <v>6.0833333333333399E-4</v>
      </c>
      <c r="G633" s="177">
        <v>46882012195.121956</v>
      </c>
      <c r="H633" s="177">
        <v>57050331000</v>
      </c>
      <c r="I633" s="175">
        <v>0.82176582279815269</v>
      </c>
      <c r="J633" s="177">
        <v>40.367670104855257</v>
      </c>
    </row>
    <row r="634" spans="1:10">
      <c r="A634" s="65">
        <v>9944</v>
      </c>
      <c r="B634" s="175">
        <v>0.37</v>
      </c>
      <c r="C634" s="184">
        <v>1</v>
      </c>
      <c r="D634" s="177">
        <v>105405405.4054054</v>
      </c>
      <c r="E634" s="26"/>
      <c r="F634" s="184">
        <v>4.8166666666666644E-3</v>
      </c>
      <c r="G634" s="177">
        <v>3309729729.7297297</v>
      </c>
      <c r="H634" s="177">
        <v>4021850000</v>
      </c>
      <c r="I634" s="175">
        <v>0.82293713831439008</v>
      </c>
      <c r="J634" s="177">
        <v>21.216216216216214</v>
      </c>
    </row>
    <row r="635" spans="1:10">
      <c r="A635" s="65">
        <v>4706</v>
      </c>
      <c r="B635" s="175">
        <v>0.2</v>
      </c>
      <c r="C635" s="184">
        <v>0.8928571428571429</v>
      </c>
      <c r="D635" s="177">
        <v>80000000</v>
      </c>
      <c r="E635" s="26"/>
      <c r="F635" s="184">
        <v>2.7916666666666673E-2</v>
      </c>
      <c r="G635" s="177">
        <v>1200000000</v>
      </c>
      <c r="H635" s="177">
        <v>1458083000</v>
      </c>
      <c r="I635" s="175">
        <v>0.82299841641388038</v>
      </c>
      <c r="J635" s="177">
        <v>20.999999999999996</v>
      </c>
    </row>
    <row r="636" spans="1:10">
      <c r="A636" s="65">
        <v>2437</v>
      </c>
      <c r="B636" s="175">
        <v>1.54</v>
      </c>
      <c r="C636" s="184">
        <v>1</v>
      </c>
      <c r="D636" s="177">
        <v>66233766.233766235</v>
      </c>
      <c r="E636" s="26"/>
      <c r="F636" s="184">
        <v>1.3291666666666667E-2</v>
      </c>
      <c r="G636" s="177">
        <v>3358051948.0519485</v>
      </c>
      <c r="H636" s="177">
        <v>4079986000</v>
      </c>
      <c r="I636" s="175">
        <v>0.82305477225950008</v>
      </c>
      <c r="J636" s="177">
        <v>8.2305194805194812</v>
      </c>
    </row>
    <row r="637" spans="1:10">
      <c r="A637" s="65">
        <v>6180</v>
      </c>
      <c r="B637" s="175">
        <v>0.22</v>
      </c>
      <c r="C637" s="184">
        <v>7.5418994413407825E-2</v>
      </c>
      <c r="D637" s="177">
        <v>159090909.09090909</v>
      </c>
      <c r="E637" s="26"/>
      <c r="F637" s="184">
        <v>3.5258333333333336E-2</v>
      </c>
      <c r="G637" s="177">
        <v>7795454545.454546</v>
      </c>
      <c r="H637" s="177">
        <v>9445176000</v>
      </c>
      <c r="I637" s="175">
        <v>0.8253371398748468</v>
      </c>
      <c r="J637" s="177">
        <v>50</v>
      </c>
    </row>
    <row r="638" spans="1:10">
      <c r="A638" s="65">
        <v>6107</v>
      </c>
      <c r="B638" s="175">
        <v>0.43</v>
      </c>
      <c r="C638" s="184">
        <v>1</v>
      </c>
      <c r="D638" s="177">
        <v>72093023.255813956</v>
      </c>
      <c r="E638" s="26"/>
      <c r="F638" s="184">
        <v>0.10344166666666667</v>
      </c>
      <c r="G638" s="177">
        <v>5623255813.9534883</v>
      </c>
      <c r="H638" s="177">
        <v>6783348000</v>
      </c>
      <c r="I638" s="175">
        <v>0.8289794086863137</v>
      </c>
      <c r="J638" s="177">
        <v>45.348837209302324</v>
      </c>
    </row>
    <row r="639" spans="1:10">
      <c r="A639" s="65">
        <v>5483</v>
      </c>
      <c r="B639" s="175">
        <v>0</v>
      </c>
      <c r="C639" s="184">
        <v>0</v>
      </c>
      <c r="D639" s="177">
        <v>580000000</v>
      </c>
      <c r="E639" s="26"/>
      <c r="F639" s="184">
        <v>-1.9999999999999996E-3</v>
      </c>
      <c r="G639" s="177">
        <v>23664000000</v>
      </c>
      <c r="H639" s="177">
        <v>28478082000</v>
      </c>
      <c r="I639" s="175">
        <v>0.83095483747817001</v>
      </c>
      <c r="J639" s="177">
        <v>0</v>
      </c>
    </row>
    <row r="640" spans="1:10">
      <c r="A640" s="65">
        <v>3128</v>
      </c>
      <c r="B640" s="175">
        <v>0.13</v>
      </c>
      <c r="C640" s="184">
        <v>0.33333333333333331</v>
      </c>
      <c r="D640" s="177">
        <v>46153846.153846152</v>
      </c>
      <c r="E640" s="26"/>
      <c r="F640" s="184">
        <v>1.9416666666666676E-2</v>
      </c>
      <c r="G640" s="177">
        <v>595384615.38461542</v>
      </c>
      <c r="H640" s="177">
        <v>715821000</v>
      </c>
      <c r="I640" s="175">
        <v>0.83175069659120848</v>
      </c>
      <c r="J640" s="177">
        <v>50</v>
      </c>
    </row>
    <row r="641" spans="1:11">
      <c r="A641" s="65">
        <v>5706</v>
      </c>
      <c r="B641" s="175">
        <v>1.29</v>
      </c>
      <c r="C641" s="184">
        <v>0.82242990654205606</v>
      </c>
      <c r="D641" s="177">
        <v>59689922.480620153</v>
      </c>
      <c r="E641" s="26"/>
      <c r="F641" s="184">
        <v>0.14625833333333332</v>
      </c>
      <c r="G641" s="177">
        <v>2429379844.9612403</v>
      </c>
      <c r="H641" s="177">
        <v>2913797000</v>
      </c>
      <c r="I641" s="175">
        <v>0.83375054781140912</v>
      </c>
      <c r="J641" s="177">
        <v>9.5906007751937992</v>
      </c>
    </row>
    <row r="642" spans="1:11">
      <c r="A642" s="65">
        <v>1802</v>
      </c>
      <c r="B642" s="175">
        <v>-0.3</v>
      </c>
      <c r="C642" s="184">
        <v>0.88363636363636366</v>
      </c>
      <c r="D642" s="177">
        <v>2403333333.3333335</v>
      </c>
      <c r="E642" s="26"/>
      <c r="F642" s="184">
        <v>2.6966666666666656E-2</v>
      </c>
      <c r="G642" s="177">
        <v>33887000000</v>
      </c>
      <c r="H642" s="177">
        <v>40638482000</v>
      </c>
      <c r="I642" s="175">
        <v>0.83386480823766995</v>
      </c>
      <c r="J642" s="177">
        <v>0</v>
      </c>
    </row>
    <row r="643" spans="1:11">
      <c r="A643" s="65">
        <v>5353</v>
      </c>
      <c r="B643" s="175">
        <v>0.04</v>
      </c>
      <c r="C643" s="184">
        <v>0</v>
      </c>
      <c r="D643" s="177">
        <v>100000000</v>
      </c>
      <c r="E643" s="26"/>
      <c r="F643" s="184">
        <v>8.9083333333333375E-3</v>
      </c>
      <c r="G643" s="177">
        <v>942000000</v>
      </c>
      <c r="H643" s="177">
        <v>1128412000</v>
      </c>
      <c r="I643" s="175">
        <v>0.83480147322077403</v>
      </c>
      <c r="J643" s="177">
        <v>0</v>
      </c>
    </row>
    <row r="644" spans="1:11">
      <c r="A644" s="65">
        <v>4510</v>
      </c>
      <c r="B644" s="175">
        <v>0.23</v>
      </c>
      <c r="C644" s="184">
        <v>1</v>
      </c>
      <c r="D644" s="177">
        <v>108695652.17391303</v>
      </c>
      <c r="E644" s="26"/>
      <c r="F644" s="184">
        <v>9.7583333333333324E-3</v>
      </c>
      <c r="G644" s="177">
        <v>1777173913.0434783</v>
      </c>
      <c r="H644" s="177">
        <v>2128415000</v>
      </c>
      <c r="I644" s="175">
        <v>0.83497528115686004</v>
      </c>
      <c r="J644" s="177">
        <v>17.771739130434785</v>
      </c>
    </row>
    <row r="645" spans="1:11">
      <c r="A645" s="65">
        <v>5511</v>
      </c>
      <c r="B645" s="175">
        <v>0.55000000000000004</v>
      </c>
      <c r="C645" s="184">
        <v>1</v>
      </c>
      <c r="D645" s="177">
        <v>152727272.72727272</v>
      </c>
      <c r="E645" s="26"/>
      <c r="F645" s="184">
        <v>0.16580833333333336</v>
      </c>
      <c r="G645" s="177">
        <v>3818181818.181818</v>
      </c>
      <c r="H645" s="177">
        <v>4561694000</v>
      </c>
      <c r="I645" s="175">
        <v>0.83700963242642268</v>
      </c>
      <c r="J645" s="177">
        <v>11.363636363636363</v>
      </c>
    </row>
    <row r="646" spans="1:11">
      <c r="A646" s="65">
        <v>4919</v>
      </c>
      <c r="B646" s="175">
        <v>0.71</v>
      </c>
      <c r="C646" s="184">
        <v>0.71250000000000002</v>
      </c>
      <c r="D646" s="177">
        <v>208450704.22535211</v>
      </c>
      <c r="E646" s="26"/>
      <c r="F646" s="184">
        <v>2.7316666666666673E-2</v>
      </c>
      <c r="G646" s="177">
        <v>6013802816.9014082</v>
      </c>
      <c r="H646" s="177">
        <v>7165338000</v>
      </c>
      <c r="I646" s="175">
        <v>0.83929087740193253</v>
      </c>
      <c r="J646" s="177">
        <v>14.257474672596986</v>
      </c>
    </row>
    <row r="647" spans="1:11">
      <c r="A647" s="65">
        <v>8426</v>
      </c>
      <c r="B647" s="175">
        <v>0.28000000000000003</v>
      </c>
      <c r="C647" s="184">
        <v>0.82499999999999996</v>
      </c>
      <c r="D647" s="177">
        <v>49999999.999999993</v>
      </c>
      <c r="E647" s="26"/>
      <c r="F647" s="184">
        <v>1.0733333333333333E-2</v>
      </c>
      <c r="G647" s="177">
        <v>1457499999.9999998</v>
      </c>
      <c r="H647" s="177">
        <v>1729939000</v>
      </c>
      <c r="I647" s="175">
        <v>0.84251525631828628</v>
      </c>
      <c r="J647" s="177">
        <v>31.547619047619044</v>
      </c>
      <c r="K647" s="32"/>
    </row>
    <row r="648" spans="1:11">
      <c r="A648" s="65">
        <v>3303</v>
      </c>
      <c r="B648" s="175">
        <v>0.31</v>
      </c>
      <c r="C648" s="184">
        <v>1</v>
      </c>
      <c r="D648" s="177">
        <v>103225806.4516129</v>
      </c>
      <c r="E648" s="26"/>
      <c r="F648" s="184">
        <v>2.5941666666666668E-2</v>
      </c>
      <c r="G648" s="177">
        <v>1987096774.1935484</v>
      </c>
      <c r="H648" s="177">
        <v>2358325000</v>
      </c>
      <c r="I648" s="175">
        <v>0.84258818194843732</v>
      </c>
      <c r="J648" s="177">
        <v>15.524193548387096</v>
      </c>
    </row>
    <row r="649" spans="1:11">
      <c r="A649" s="65">
        <v>2727</v>
      </c>
      <c r="B649" s="175">
        <v>1.08</v>
      </c>
      <c r="C649" s="184">
        <v>1</v>
      </c>
      <c r="D649" s="177">
        <v>76851851.851851851</v>
      </c>
      <c r="E649" s="26"/>
      <c r="F649" s="184">
        <v>8.7333333333333343E-3</v>
      </c>
      <c r="G649" s="177">
        <v>14102314814.814816</v>
      </c>
      <c r="H649" s="177">
        <v>16732537000</v>
      </c>
      <c r="I649" s="175">
        <v>0.84280792654543757</v>
      </c>
      <c r="J649" s="177">
        <v>42.476851851851848</v>
      </c>
    </row>
    <row r="650" spans="1:11">
      <c r="A650" s="65">
        <v>6442</v>
      </c>
      <c r="B650" s="175">
        <v>0.65</v>
      </c>
      <c r="C650" s="184">
        <v>1</v>
      </c>
      <c r="D650" s="177">
        <v>60000000</v>
      </c>
      <c r="E650" s="26"/>
      <c r="F650" s="184">
        <v>2.0883333333333337E-2</v>
      </c>
      <c r="G650" s="177">
        <v>3564000000</v>
      </c>
      <c r="H650" s="177">
        <v>4220415000</v>
      </c>
      <c r="I650" s="175">
        <v>0.84446671713563715</v>
      </c>
      <c r="J650" s="177">
        <v>22.846153846153843</v>
      </c>
    </row>
    <row r="651" spans="1:11">
      <c r="A651" s="65">
        <v>5498</v>
      </c>
      <c r="B651" s="175">
        <v>-0.01</v>
      </c>
      <c r="C651" s="184">
        <v>1</v>
      </c>
      <c r="D651" s="177">
        <v>100000000</v>
      </c>
      <c r="E651" s="26"/>
      <c r="F651" s="184">
        <v>-3.7633333333333331E-2</v>
      </c>
      <c r="G651" s="177">
        <v>823000000</v>
      </c>
      <c r="H651" s="177">
        <v>974029000</v>
      </c>
      <c r="I651" s="175">
        <v>0.84494404170717707</v>
      </c>
      <c r="J651" s="177">
        <v>0</v>
      </c>
    </row>
    <row r="652" spans="1:11">
      <c r="A652" s="65">
        <v>3515</v>
      </c>
      <c r="B652" s="175">
        <v>0.28000000000000003</v>
      </c>
      <c r="C652" s="184">
        <v>0.95867768595041325</v>
      </c>
      <c r="D652" s="177">
        <v>114285714.28571427</v>
      </c>
      <c r="E652" s="26"/>
      <c r="F652" s="184">
        <v>-2.3249999999999972E-3</v>
      </c>
      <c r="G652" s="177">
        <v>6079999999.999999</v>
      </c>
      <c r="H652" s="177">
        <v>7188938000</v>
      </c>
      <c r="I652" s="175">
        <v>0.84574383587673163</v>
      </c>
      <c r="J652" s="177">
        <v>49.547413793103445</v>
      </c>
    </row>
    <row r="653" spans="1:11">
      <c r="A653" s="65">
        <v>3046</v>
      </c>
      <c r="B653" s="175">
        <v>-0.6</v>
      </c>
      <c r="C653" s="184">
        <v>1</v>
      </c>
      <c r="D653" s="177">
        <v>115000000</v>
      </c>
      <c r="E653" s="26"/>
      <c r="F653" s="184">
        <v>5.7850000000000013E-2</v>
      </c>
      <c r="G653" s="177">
        <v>1259250000</v>
      </c>
      <c r="H653" s="177">
        <v>1488909000</v>
      </c>
      <c r="I653" s="175">
        <v>0.8457535013892723</v>
      </c>
      <c r="J653" s="177">
        <v>0</v>
      </c>
    </row>
    <row r="654" spans="1:11">
      <c r="A654" s="65">
        <v>5383</v>
      </c>
      <c r="B654" s="175">
        <v>-0.34</v>
      </c>
      <c r="C654" s="184">
        <v>1</v>
      </c>
      <c r="D654" s="177">
        <v>70588235.294117644</v>
      </c>
      <c r="E654" s="26"/>
      <c r="F654" s="184">
        <v>1.631666666666667E-2</v>
      </c>
      <c r="G654" s="177">
        <v>744705882.35294116</v>
      </c>
      <c r="H654" s="177">
        <v>879586000</v>
      </c>
      <c r="I654" s="175">
        <v>0.84665499718383552</v>
      </c>
      <c r="J654" s="177">
        <v>0</v>
      </c>
    </row>
    <row r="655" spans="1:11">
      <c r="A655" s="65">
        <v>6127</v>
      </c>
      <c r="B655" s="175">
        <v>7.0000000000000007E-2</v>
      </c>
      <c r="C655" s="184">
        <v>1</v>
      </c>
      <c r="D655" s="177">
        <v>85714285.714285702</v>
      </c>
      <c r="E655" s="26"/>
      <c r="F655" s="184">
        <v>-1.8666666666666658E-3</v>
      </c>
      <c r="G655" s="177">
        <v>917142857.14285696</v>
      </c>
      <c r="H655" s="177">
        <v>1077209000</v>
      </c>
      <c r="I655" s="175">
        <v>0.85140660460770101</v>
      </c>
      <c r="J655" s="177">
        <v>38.214285714285708</v>
      </c>
    </row>
    <row r="656" spans="1:11">
      <c r="A656" s="65">
        <v>1583</v>
      </c>
      <c r="B656" s="175">
        <v>0.83</v>
      </c>
      <c r="C656" s="184">
        <v>1</v>
      </c>
      <c r="D656" s="177">
        <v>100000000</v>
      </c>
      <c r="E656" s="26"/>
      <c r="F656" s="184">
        <v>9.6499999999999971E-3</v>
      </c>
      <c r="G656" s="177">
        <v>6500000000</v>
      </c>
      <c r="H656" s="177">
        <v>7634111000</v>
      </c>
      <c r="I656" s="175">
        <v>0.85144164133846101</v>
      </c>
      <c r="J656" s="177">
        <v>19.578313253012048</v>
      </c>
    </row>
    <row r="657" spans="1:10">
      <c r="A657" s="65">
        <v>3576</v>
      </c>
      <c r="B657" s="175">
        <v>-0.9</v>
      </c>
      <c r="C657" s="184">
        <v>0.91247974068071314</v>
      </c>
      <c r="D657" s="177">
        <v>852222222.22222221</v>
      </c>
      <c r="E657" s="26"/>
      <c r="F657" s="184">
        <v>3.7183333333333325E-2</v>
      </c>
      <c r="G657" s="177">
        <v>19260222222.222221</v>
      </c>
      <c r="H657" s="177">
        <v>22586326000</v>
      </c>
      <c r="I657" s="175">
        <v>0.85273816654475909</v>
      </c>
      <c r="J657" s="177">
        <v>0</v>
      </c>
    </row>
    <row r="658" spans="1:10">
      <c r="A658" s="65">
        <v>3144</v>
      </c>
      <c r="B658" s="175">
        <v>0.39</v>
      </c>
      <c r="C658" s="184">
        <v>1</v>
      </c>
      <c r="D658" s="177">
        <v>102564102.56410256</v>
      </c>
      <c r="E658" s="26"/>
      <c r="F658" s="184">
        <v>2.1441666666666668E-2</v>
      </c>
      <c r="G658" s="177">
        <v>1743589743.5897436</v>
      </c>
      <c r="H658" s="177">
        <v>2038708000</v>
      </c>
      <c r="I658" s="175">
        <v>0.85524250828943804</v>
      </c>
      <c r="J658" s="177">
        <v>10.897435897435898</v>
      </c>
    </row>
    <row r="659" spans="1:10">
      <c r="A659" s="65">
        <v>6160</v>
      </c>
      <c r="B659" s="175">
        <v>-0.15</v>
      </c>
      <c r="C659" s="184">
        <v>0.875</v>
      </c>
      <c r="D659" s="177">
        <v>66666666.666666672</v>
      </c>
      <c r="E659" s="26"/>
      <c r="F659" s="184">
        <v>3.7891666666666664E-2</v>
      </c>
      <c r="G659" s="177">
        <v>956666666.66666675</v>
      </c>
      <c r="H659" s="177">
        <v>1117211000</v>
      </c>
      <c r="I659" s="175">
        <v>0.85629900409740567</v>
      </c>
      <c r="J659" s="177">
        <v>0</v>
      </c>
    </row>
    <row r="660" spans="1:10">
      <c r="A660" s="65">
        <v>5464</v>
      </c>
      <c r="B660" s="175">
        <v>-0.35</v>
      </c>
      <c r="C660" s="184">
        <v>0</v>
      </c>
      <c r="D660" s="177">
        <v>71428571.428571433</v>
      </c>
      <c r="E660" s="26"/>
      <c r="F660" s="184">
        <v>1.3191666666666671E-2</v>
      </c>
      <c r="G660" s="177">
        <v>1196428571.4285715</v>
      </c>
      <c r="H660" s="177">
        <v>1397100000</v>
      </c>
      <c r="I660" s="175">
        <v>0.8563657371903024</v>
      </c>
      <c r="J660" s="177">
        <v>0</v>
      </c>
    </row>
    <row r="661" spans="1:10">
      <c r="A661" s="65">
        <v>3055</v>
      </c>
      <c r="B661" s="175">
        <v>0.27</v>
      </c>
      <c r="C661" s="184">
        <v>0.95161290322580649</v>
      </c>
      <c r="D661" s="177">
        <v>129629629.62962963</v>
      </c>
      <c r="E661" s="26"/>
      <c r="F661" s="184">
        <v>3.1749999999999994E-2</v>
      </c>
      <c r="G661" s="177">
        <v>2300925925.9259257</v>
      </c>
      <c r="H661" s="177">
        <v>2674580000</v>
      </c>
      <c r="I661" s="175">
        <v>0.86029429889026532</v>
      </c>
      <c r="J661" s="177">
        <v>17.270872567482737</v>
      </c>
    </row>
    <row r="662" spans="1:10">
      <c r="A662" s="65">
        <v>2476</v>
      </c>
      <c r="B662" s="175">
        <v>0.45</v>
      </c>
      <c r="C662" s="184">
        <v>0.71232876712328763</v>
      </c>
      <c r="D662" s="177">
        <v>182222222.22222221</v>
      </c>
      <c r="E662" s="26"/>
      <c r="F662" s="184">
        <v>4.966666666666667E-3</v>
      </c>
      <c r="G662" s="177">
        <v>4063555555.5555553</v>
      </c>
      <c r="H662" s="177">
        <v>4706969000</v>
      </c>
      <c r="I662" s="175">
        <v>0.86330620736094832</v>
      </c>
      <c r="J662" s="177">
        <v>17.392094017094017</v>
      </c>
    </row>
    <row r="663" spans="1:10">
      <c r="A663" s="65">
        <v>4433</v>
      </c>
      <c r="B663" s="175">
        <v>1.68</v>
      </c>
      <c r="C663" s="184">
        <v>0.29411764705882354</v>
      </c>
      <c r="D663" s="177">
        <v>30357142.857142858</v>
      </c>
      <c r="E663" s="26"/>
      <c r="F663" s="184">
        <v>3.229166666666667E-2</v>
      </c>
      <c r="G663" s="177">
        <v>1259821428.5714285</v>
      </c>
      <c r="H663" s="177">
        <v>1452385000</v>
      </c>
      <c r="I663" s="175">
        <v>0.86741561539910461</v>
      </c>
      <c r="J663" s="177">
        <v>20.99702380952381</v>
      </c>
    </row>
    <row r="664" spans="1:10">
      <c r="A664" s="65">
        <v>4523</v>
      </c>
      <c r="B664" s="175">
        <v>0.06</v>
      </c>
      <c r="C664" s="184">
        <v>0.2</v>
      </c>
      <c r="D664" s="177">
        <v>66666666.666666672</v>
      </c>
      <c r="E664" s="26"/>
      <c r="F664" s="184">
        <v>5.3833333333333323E-2</v>
      </c>
      <c r="G664" s="177">
        <v>1323333333.3333335</v>
      </c>
      <c r="H664" s="177">
        <v>1525214000</v>
      </c>
      <c r="I664" s="175">
        <v>0.86763780907684662</v>
      </c>
      <c r="J664" s="177">
        <v>50</v>
      </c>
    </row>
    <row r="665" spans="1:10">
      <c r="A665" s="65">
        <v>4960</v>
      </c>
      <c r="B665" s="175">
        <v>0.42</v>
      </c>
      <c r="C665" s="184">
        <v>0.9733124018838305</v>
      </c>
      <c r="D665" s="177">
        <v>516666666.66666669</v>
      </c>
      <c r="E665" s="26"/>
      <c r="F665" s="184">
        <v>-9.1833333333333315E-3</v>
      </c>
      <c r="G665" s="177">
        <v>11650833333.333334</v>
      </c>
      <c r="H665" s="177">
        <v>13423300000</v>
      </c>
      <c r="I665" s="175">
        <v>0.86795596711191236</v>
      </c>
      <c r="J665" s="177">
        <v>13.790658602150538</v>
      </c>
    </row>
    <row r="666" spans="1:10">
      <c r="A666" s="65">
        <v>3516</v>
      </c>
      <c r="B666" s="175">
        <v>-0.53</v>
      </c>
      <c r="C666" s="184">
        <v>1</v>
      </c>
      <c r="D666" s="177">
        <v>71698113.207547173</v>
      </c>
      <c r="E666" s="26"/>
      <c r="F666" s="184">
        <v>7.8316666666666659E-2</v>
      </c>
      <c r="G666" s="177">
        <v>647433962.26415098</v>
      </c>
      <c r="H666" s="177">
        <v>745850000</v>
      </c>
      <c r="I666" s="175">
        <v>0.86804848463384188</v>
      </c>
      <c r="J666" s="177">
        <v>0</v>
      </c>
    </row>
    <row r="667" spans="1:10">
      <c r="A667" s="65">
        <v>3535</v>
      </c>
      <c r="B667" s="175">
        <v>-0.08</v>
      </c>
      <c r="C667" s="184">
        <v>1</v>
      </c>
      <c r="D667" s="177">
        <v>75000000</v>
      </c>
      <c r="E667" s="26"/>
      <c r="F667" s="184">
        <v>1.1966666666666668</v>
      </c>
      <c r="G667" s="177">
        <v>749250000</v>
      </c>
      <c r="H667" s="177">
        <v>862215000</v>
      </c>
      <c r="I667" s="175">
        <v>0.86898279431464309</v>
      </c>
      <c r="J667" s="177">
        <v>0</v>
      </c>
    </row>
    <row r="668" spans="1:10">
      <c r="A668" s="65">
        <v>1258</v>
      </c>
      <c r="B668" s="180">
        <v>0.95</v>
      </c>
      <c r="C668" s="184">
        <v>0.90476190476190477</v>
      </c>
      <c r="D668" s="181">
        <v>33684210.526315793</v>
      </c>
      <c r="E668" s="179"/>
      <c r="F668" s="184">
        <v>5.5516666666666659E-2</v>
      </c>
      <c r="G668" s="181">
        <v>1418105263.1578948</v>
      </c>
      <c r="H668" s="181">
        <v>1631698000</v>
      </c>
      <c r="I668" s="180">
        <v>0.86909787421317841</v>
      </c>
      <c r="J668" s="181">
        <v>12.245152354570639</v>
      </c>
    </row>
    <row r="669" spans="1:10">
      <c r="A669" s="65">
        <v>2499</v>
      </c>
      <c r="B669" s="175">
        <v>0.2</v>
      </c>
      <c r="C669" s="184">
        <v>1</v>
      </c>
      <c r="D669" s="177">
        <v>320000000</v>
      </c>
      <c r="E669" s="26"/>
      <c r="F669" s="184">
        <v>-1.1708333333333334E-2</v>
      </c>
      <c r="G669" s="177">
        <v>7152000000</v>
      </c>
      <c r="H669" s="177">
        <v>8223770000</v>
      </c>
      <c r="I669" s="175">
        <v>0.86967412755950135</v>
      </c>
      <c r="J669" s="177">
        <v>27.9375</v>
      </c>
    </row>
    <row r="670" spans="1:10">
      <c r="A670" s="65">
        <v>4958</v>
      </c>
      <c r="B670" s="175">
        <v>1.91</v>
      </c>
      <c r="C670" s="184">
        <v>0.78301237964236592</v>
      </c>
      <c r="D670" s="177">
        <v>802617801.04712045</v>
      </c>
      <c r="E670" s="26"/>
      <c r="F670" s="184">
        <v>5.1650000000000001E-2</v>
      </c>
      <c r="G670" s="177">
        <v>76007905759.162308</v>
      </c>
      <c r="H670" s="177">
        <v>87215751000</v>
      </c>
      <c r="I670" s="175">
        <v>0.87149287700523625</v>
      </c>
      <c r="J670" s="177">
        <v>15.830257963196729</v>
      </c>
    </row>
    <row r="671" spans="1:10">
      <c r="A671" s="65">
        <v>5291</v>
      </c>
      <c r="B671" s="175">
        <v>0.04</v>
      </c>
      <c r="C671" s="184">
        <v>1</v>
      </c>
      <c r="D671" s="177">
        <v>50000000</v>
      </c>
      <c r="E671" s="26"/>
      <c r="F671" s="184">
        <v>4.8583333333333326E-3</v>
      </c>
      <c r="G671" s="177">
        <v>935000000</v>
      </c>
      <c r="H671" s="177">
        <v>1071491000</v>
      </c>
      <c r="I671" s="175">
        <v>0.87261582225142353</v>
      </c>
      <c r="J671" s="177">
        <v>50</v>
      </c>
    </row>
    <row r="672" spans="1:10">
      <c r="A672" s="65">
        <v>1457</v>
      </c>
      <c r="B672" s="175">
        <v>1.1599999999999999</v>
      </c>
      <c r="C672" s="184">
        <v>0</v>
      </c>
      <c r="D672" s="177">
        <v>263793103.44827589</v>
      </c>
      <c r="E672" s="26"/>
      <c r="F672" s="184">
        <v>5.1616666666666665E-2</v>
      </c>
      <c r="G672" s="177">
        <v>3587586206.8965521</v>
      </c>
      <c r="H672" s="177">
        <v>4108472000</v>
      </c>
      <c r="I672" s="175">
        <v>0.87321666227652328</v>
      </c>
      <c r="J672" s="177">
        <v>0</v>
      </c>
    </row>
    <row r="673" spans="1:10">
      <c r="A673" s="65">
        <v>3669</v>
      </c>
      <c r="B673" s="175">
        <v>0.01</v>
      </c>
      <c r="C673" s="184">
        <v>0.97297297297297303</v>
      </c>
      <c r="D673" s="177">
        <v>100000000</v>
      </c>
      <c r="E673" s="26"/>
      <c r="F673" s="184">
        <v>2.5833333333333333E-2</v>
      </c>
      <c r="G673" s="177">
        <v>1445000000</v>
      </c>
      <c r="H673" s="177">
        <v>1650767000</v>
      </c>
      <c r="I673" s="175">
        <v>0.87535067032476421</v>
      </c>
      <c r="J673" s="177">
        <v>50</v>
      </c>
    </row>
    <row r="674" spans="1:10">
      <c r="A674" s="65">
        <v>4956</v>
      </c>
      <c r="B674" s="175">
        <v>0.11</v>
      </c>
      <c r="C674" s="184">
        <v>1</v>
      </c>
      <c r="D674" s="177">
        <v>100000000</v>
      </c>
      <c r="E674" s="26"/>
      <c r="F674" s="184">
        <v>-3.4666666666666682E-3</v>
      </c>
      <c r="G674" s="177">
        <v>1270000000</v>
      </c>
      <c r="H674" s="177">
        <v>1449605000</v>
      </c>
      <c r="I674" s="175">
        <v>0.87610073088875939</v>
      </c>
      <c r="J674" s="177">
        <v>28.863636363636363</v>
      </c>
    </row>
    <row r="675" spans="1:10">
      <c r="A675" s="65">
        <v>1612</v>
      </c>
      <c r="B675" s="175">
        <v>0.06</v>
      </c>
      <c r="C675" s="184">
        <v>0</v>
      </c>
      <c r="D675" s="177">
        <v>333333333.33333337</v>
      </c>
      <c r="E675" s="26"/>
      <c r="F675" s="184">
        <v>4.4999999999999207E-4</v>
      </c>
      <c r="G675" s="177">
        <v>2796666666.666667</v>
      </c>
      <c r="H675" s="177">
        <v>3181047000</v>
      </c>
      <c r="I675" s="175">
        <v>0.8791654655422152</v>
      </c>
      <c r="J675" s="177">
        <v>0</v>
      </c>
    </row>
    <row r="676" spans="1:10">
      <c r="A676" s="65">
        <v>2033</v>
      </c>
      <c r="B676" s="175">
        <v>-0.05</v>
      </c>
      <c r="C676" s="184">
        <v>1</v>
      </c>
      <c r="D676" s="177">
        <v>80000000</v>
      </c>
      <c r="E676" s="26"/>
      <c r="F676" s="184">
        <v>2.9033333333333338E-2</v>
      </c>
      <c r="G676" s="177">
        <v>663199999.99999988</v>
      </c>
      <c r="H676" s="177">
        <v>753110000</v>
      </c>
      <c r="I676" s="175">
        <v>0.88061504959434855</v>
      </c>
      <c r="J676" s="177">
        <v>0</v>
      </c>
    </row>
    <row r="677" spans="1:10">
      <c r="A677" s="65">
        <v>5321</v>
      </c>
      <c r="B677" s="175">
        <v>0.06</v>
      </c>
      <c r="C677" s="184">
        <v>1</v>
      </c>
      <c r="D677" s="177">
        <v>33333333.333333336</v>
      </c>
      <c r="E677" s="26"/>
      <c r="F677" s="184">
        <v>-1.1666666666666655E-3</v>
      </c>
      <c r="G677" s="177">
        <v>1103333333.3333335</v>
      </c>
      <c r="H677" s="177">
        <v>1251332000</v>
      </c>
      <c r="I677" s="175">
        <v>0.88172709827074947</v>
      </c>
      <c r="J677" s="177">
        <v>50</v>
      </c>
    </row>
    <row r="678" spans="1:10">
      <c r="A678" s="65">
        <v>3006</v>
      </c>
      <c r="B678" s="175">
        <v>0.15</v>
      </c>
      <c r="C678" s="184">
        <v>1</v>
      </c>
      <c r="D678" s="177">
        <v>266666666.66666669</v>
      </c>
      <c r="E678" s="26"/>
      <c r="F678" s="184">
        <v>-8.1583333333333317E-3</v>
      </c>
      <c r="G678" s="177">
        <v>8320000000</v>
      </c>
      <c r="H678" s="177">
        <v>9420420000</v>
      </c>
      <c r="I678" s="175">
        <v>0.88318779842087725</v>
      </c>
      <c r="J678" s="177">
        <v>50</v>
      </c>
    </row>
    <row r="679" spans="1:10">
      <c r="A679" s="65">
        <v>3605</v>
      </c>
      <c r="B679" s="175">
        <v>-0.14000000000000001</v>
      </c>
      <c r="C679" s="184">
        <v>0</v>
      </c>
      <c r="D679" s="177">
        <v>121428571.42857142</v>
      </c>
      <c r="E679" s="26"/>
      <c r="F679" s="184">
        <v>9.5500000000000012E-3</v>
      </c>
      <c r="G679" s="177">
        <v>3254285714.2857141</v>
      </c>
      <c r="H679" s="177">
        <v>3679482000</v>
      </c>
      <c r="I679" s="175">
        <v>0.88444126490786312</v>
      </c>
      <c r="J679" s="177">
        <v>0</v>
      </c>
    </row>
    <row r="680" spans="1:10">
      <c r="A680" s="65">
        <v>5516</v>
      </c>
      <c r="B680" s="175">
        <v>-7.0000000000000007E-2</v>
      </c>
      <c r="C680" s="184">
        <v>0.3</v>
      </c>
      <c r="D680" s="177">
        <v>42857142.857142851</v>
      </c>
      <c r="E680" s="26"/>
      <c r="F680" s="184">
        <v>0.23480000000000001</v>
      </c>
      <c r="G680" s="177">
        <v>464999999.99999994</v>
      </c>
      <c r="H680" s="177">
        <v>525390000</v>
      </c>
      <c r="I680" s="175">
        <v>0.8850568149374749</v>
      </c>
      <c r="J680" s="177">
        <v>0</v>
      </c>
    </row>
    <row r="681" spans="1:10">
      <c r="A681" s="65">
        <v>5234</v>
      </c>
      <c r="B681" s="175">
        <v>0.67</v>
      </c>
      <c r="C681" s="184">
        <v>1</v>
      </c>
      <c r="D681" s="177">
        <v>94029850.746268645</v>
      </c>
      <c r="E681" s="26"/>
      <c r="F681" s="184">
        <v>-7.9166666666666676E-4</v>
      </c>
      <c r="G681" s="177">
        <v>3032462686.5671639</v>
      </c>
      <c r="H681" s="177">
        <v>3423734000</v>
      </c>
      <c r="I681" s="175">
        <v>0.88571795781073059</v>
      </c>
      <c r="J681" s="177">
        <v>12.033582089552239</v>
      </c>
    </row>
    <row r="682" spans="1:10">
      <c r="A682" s="65">
        <v>2349</v>
      </c>
      <c r="B682" s="175">
        <v>0.01</v>
      </c>
      <c r="C682" s="184">
        <v>1</v>
      </c>
      <c r="D682" s="177">
        <v>3500000000</v>
      </c>
      <c r="E682" s="26"/>
      <c r="F682" s="184">
        <v>2.1666666666666592E-4</v>
      </c>
      <c r="G682" s="177">
        <v>10325000000</v>
      </c>
      <c r="H682" s="177">
        <v>11618533000</v>
      </c>
      <c r="I682" s="175">
        <v>0.88866640908968453</v>
      </c>
      <c r="J682" s="177">
        <v>50</v>
      </c>
    </row>
    <row r="683" spans="1:10">
      <c r="A683" s="65">
        <v>2401</v>
      </c>
      <c r="B683" s="175">
        <v>0.16</v>
      </c>
      <c r="C683" s="184">
        <v>0</v>
      </c>
      <c r="D683" s="177">
        <v>587500000</v>
      </c>
      <c r="E683" s="26"/>
      <c r="F683" s="184">
        <v>4.2749999999999989E-2</v>
      </c>
      <c r="G683" s="177">
        <v>7666875000</v>
      </c>
      <c r="H683" s="177">
        <v>8615236000</v>
      </c>
      <c r="I683" s="175">
        <v>0.88992048505693866</v>
      </c>
      <c r="J683" s="177">
        <v>0</v>
      </c>
    </row>
    <row r="684" spans="1:10">
      <c r="A684" s="65">
        <v>3272</v>
      </c>
      <c r="B684" s="175">
        <v>0.86</v>
      </c>
      <c r="C684" s="184">
        <v>0.89333333333333331</v>
      </c>
      <c r="D684" s="177">
        <v>38372093.023255818</v>
      </c>
      <c r="E684" s="26"/>
      <c r="F684" s="184">
        <v>1.8108333333333341E-2</v>
      </c>
      <c r="G684" s="177">
        <v>2632325581.395349</v>
      </c>
      <c r="H684" s="177">
        <v>2949516000</v>
      </c>
      <c r="I684" s="175">
        <v>0.89246018038056041</v>
      </c>
      <c r="J684" s="177">
        <v>22.322978132592848</v>
      </c>
    </row>
    <row r="685" spans="1:10">
      <c r="A685" s="65">
        <v>8354</v>
      </c>
      <c r="B685" s="175">
        <v>0.22</v>
      </c>
      <c r="C685" s="184">
        <v>1</v>
      </c>
      <c r="D685" s="177">
        <v>63636363.636363633</v>
      </c>
      <c r="E685" s="26"/>
      <c r="F685" s="184">
        <v>-1.6333333333333384E-3</v>
      </c>
      <c r="G685" s="177">
        <v>913181818.18181813</v>
      </c>
      <c r="H685" s="177">
        <v>1022091000</v>
      </c>
      <c r="I685" s="175">
        <v>0.89344473063730934</v>
      </c>
      <c r="J685" s="177">
        <v>16.30681818181818</v>
      </c>
    </row>
    <row r="686" spans="1:10">
      <c r="A686" s="65">
        <v>1460</v>
      </c>
      <c r="B686" s="175">
        <v>0.15</v>
      </c>
      <c r="C686" s="184">
        <v>1</v>
      </c>
      <c r="D686" s="177">
        <v>446666666.66666669</v>
      </c>
      <c r="E686" s="26"/>
      <c r="F686" s="184">
        <v>1.3925000000000005E-2</v>
      </c>
      <c r="G686" s="177">
        <v>7459333333.333333</v>
      </c>
      <c r="H686" s="177">
        <v>8338216000</v>
      </c>
      <c r="I686" s="175">
        <v>0.89459583840636092</v>
      </c>
      <c r="J686" s="177">
        <v>27.833333333333332</v>
      </c>
    </row>
    <row r="687" spans="1:10">
      <c r="A687" s="65">
        <v>2204</v>
      </c>
      <c r="B687" s="175">
        <v>0.68</v>
      </c>
      <c r="C687" s="184">
        <v>0.64412070759625395</v>
      </c>
      <c r="D687" s="177">
        <v>1372058823.5294116</v>
      </c>
      <c r="E687" s="26"/>
      <c r="F687" s="184">
        <v>4.2533333333333347E-2</v>
      </c>
      <c r="G687" s="177">
        <v>32174779411.764702</v>
      </c>
      <c r="H687" s="177">
        <v>35958996000</v>
      </c>
      <c r="I687" s="175">
        <v>0.89476300761469263</v>
      </c>
      <c r="J687" s="177">
        <v>13.384639598973674</v>
      </c>
    </row>
    <row r="688" spans="1:10">
      <c r="A688" s="65">
        <v>2102</v>
      </c>
      <c r="B688" s="175">
        <v>0.27</v>
      </c>
      <c r="C688" s="184">
        <v>1</v>
      </c>
      <c r="D688" s="177">
        <v>455555555.55555552</v>
      </c>
      <c r="E688" s="26"/>
      <c r="F688" s="184">
        <v>2.9416666666666675E-3</v>
      </c>
      <c r="G688" s="177">
        <v>6810555555.5555544</v>
      </c>
      <c r="H688" s="177">
        <v>7606638000</v>
      </c>
      <c r="I688" s="175">
        <v>0.89534371894068765</v>
      </c>
      <c r="J688" s="177">
        <v>13.842592592592592</v>
      </c>
    </row>
    <row r="689" spans="1:10">
      <c r="A689" s="65">
        <v>9939</v>
      </c>
      <c r="B689" s="175">
        <v>1.4</v>
      </c>
      <c r="C689" s="184">
        <v>1</v>
      </c>
      <c r="D689" s="177">
        <v>294285714.28571433</v>
      </c>
      <c r="E689" s="26"/>
      <c r="F689" s="184">
        <v>1.0458333333333333E-2</v>
      </c>
      <c r="G689" s="177">
        <v>15067428571.428574</v>
      </c>
      <c r="H689" s="177">
        <v>16808776000</v>
      </c>
      <c r="I689" s="175">
        <v>0.89640248471563744</v>
      </c>
      <c r="J689" s="177">
        <v>9.1428571428571441</v>
      </c>
    </row>
    <row r="690" spans="1:10">
      <c r="A690" s="65">
        <v>8420</v>
      </c>
      <c r="B690" s="175">
        <v>0.68</v>
      </c>
      <c r="C690" s="184">
        <v>1</v>
      </c>
      <c r="D690" s="177">
        <v>51470588.235294111</v>
      </c>
      <c r="E690" s="26"/>
      <c r="F690" s="184">
        <v>5.254166666666666E-2</v>
      </c>
      <c r="G690" s="177">
        <v>1101470588.2352939</v>
      </c>
      <c r="H690" s="177">
        <v>1228704000</v>
      </c>
      <c r="I690" s="175">
        <v>0.89644909452178378</v>
      </c>
      <c r="J690" s="177">
        <v>7.8676470588235281</v>
      </c>
    </row>
    <row r="691" spans="1:10">
      <c r="A691" s="65">
        <v>5460</v>
      </c>
      <c r="B691" s="175">
        <v>0.31</v>
      </c>
      <c r="C691" s="184">
        <v>0.92682926829268297</v>
      </c>
      <c r="D691" s="177">
        <v>70967741.935483873</v>
      </c>
      <c r="E691" s="26"/>
      <c r="F691" s="184">
        <v>-1.7700000000000004E-2</v>
      </c>
      <c r="G691" s="177">
        <v>880000000</v>
      </c>
      <c r="H691" s="177">
        <v>981382000</v>
      </c>
      <c r="I691" s="175">
        <v>0.89669466120226371</v>
      </c>
      <c r="J691" s="177">
        <v>10.789473684210526</v>
      </c>
    </row>
    <row r="692" spans="1:10">
      <c r="A692" s="65">
        <v>8049</v>
      </c>
      <c r="B692" s="175">
        <v>0.25</v>
      </c>
      <c r="C692" s="184">
        <v>1</v>
      </c>
      <c r="D692" s="177">
        <v>128000000</v>
      </c>
      <c r="E692" s="26"/>
      <c r="F692" s="184">
        <v>5.1250000000000011E-2</v>
      </c>
      <c r="G692" s="177">
        <v>1305600000</v>
      </c>
      <c r="H692" s="177">
        <v>1450596000</v>
      </c>
      <c r="I692" s="175">
        <v>0.90004384404755011</v>
      </c>
      <c r="J692" s="177">
        <v>10.199999999999999</v>
      </c>
    </row>
    <row r="693" spans="1:10">
      <c r="A693" s="65">
        <v>6508</v>
      </c>
      <c r="B693" s="175">
        <v>0.77</v>
      </c>
      <c r="C693" s="184">
        <v>1</v>
      </c>
      <c r="D693" s="177">
        <v>77922077.922077924</v>
      </c>
      <c r="E693" s="26"/>
      <c r="F693" s="184">
        <v>3.2916666666666684E-3</v>
      </c>
      <c r="G693" s="177">
        <v>2228571428.5714288</v>
      </c>
      <c r="H693" s="177">
        <v>2473759000</v>
      </c>
      <c r="I693" s="175">
        <v>0.90088461671950615</v>
      </c>
      <c r="J693" s="177">
        <v>9.2857142857142865</v>
      </c>
    </row>
    <row r="694" spans="1:10">
      <c r="A694" s="65">
        <v>4154</v>
      </c>
      <c r="B694" s="175">
        <v>-0.1</v>
      </c>
      <c r="C694" s="184">
        <v>1</v>
      </c>
      <c r="D694" s="177">
        <v>20000000</v>
      </c>
      <c r="E694" s="26"/>
      <c r="F694" s="184">
        <v>3.5283333333333333E-2</v>
      </c>
      <c r="G694" s="177">
        <v>444000000</v>
      </c>
      <c r="H694" s="177">
        <v>492542000</v>
      </c>
      <c r="I694" s="175">
        <v>0.90144596805957666</v>
      </c>
      <c r="J694" s="177">
        <v>0</v>
      </c>
    </row>
    <row r="695" spans="1:10">
      <c r="A695" s="65">
        <v>2015</v>
      </c>
      <c r="B695" s="175">
        <v>0.95</v>
      </c>
      <c r="C695" s="184">
        <v>0.92690058479532167</v>
      </c>
      <c r="D695" s="177">
        <v>581052631.57894742</v>
      </c>
      <c r="E695" s="26"/>
      <c r="F695" s="184">
        <v>3.0016666666666674E-2</v>
      </c>
      <c r="G695" s="177">
        <v>22486736842.105267</v>
      </c>
      <c r="H695" s="177">
        <v>24922254000</v>
      </c>
      <c r="I695" s="175">
        <v>0.90227540583228416</v>
      </c>
      <c r="J695" s="177">
        <v>10.987381703470033</v>
      </c>
    </row>
    <row r="696" spans="1:10">
      <c r="A696" s="65">
        <v>1507</v>
      </c>
      <c r="B696" s="175">
        <v>1.1000000000000001</v>
      </c>
      <c r="C696" s="184">
        <v>0.95652173913043481</v>
      </c>
      <c r="D696" s="177">
        <v>409090909.09090906</v>
      </c>
      <c r="E696" s="26"/>
      <c r="F696" s="184">
        <v>4.5916666666666675E-3</v>
      </c>
      <c r="G696" s="177">
        <v>22090909090.909088</v>
      </c>
      <c r="H696" s="177">
        <v>24478982000</v>
      </c>
      <c r="I696" s="175">
        <v>0.90244394521426941</v>
      </c>
      <c r="J696" s="177">
        <v>12.830578512396693</v>
      </c>
    </row>
    <row r="697" spans="1:10">
      <c r="A697" s="65">
        <v>5285</v>
      </c>
      <c r="B697" s="175">
        <v>0.5</v>
      </c>
      <c r="C697" s="184">
        <v>1</v>
      </c>
      <c r="D697" s="177">
        <v>68000000</v>
      </c>
      <c r="E697" s="26"/>
      <c r="F697" s="184">
        <v>2.3833333333333335E-2</v>
      </c>
      <c r="G697" s="177">
        <v>2159000000</v>
      </c>
      <c r="H697" s="177">
        <v>2391863000</v>
      </c>
      <c r="I697" s="175">
        <v>0.9026436714811843</v>
      </c>
      <c r="J697" s="177">
        <v>15.875</v>
      </c>
    </row>
    <row r="698" spans="1:10">
      <c r="A698" s="65">
        <v>6244</v>
      </c>
      <c r="B698" s="175">
        <v>-1.21</v>
      </c>
      <c r="C698" s="184">
        <v>0.9642857142857143</v>
      </c>
      <c r="D698" s="177">
        <v>453719008.26446283</v>
      </c>
      <c r="E698" s="26"/>
      <c r="F698" s="184">
        <v>5.6908333333333339E-2</v>
      </c>
      <c r="G698" s="177">
        <v>20417355371.900826</v>
      </c>
      <c r="H698" s="177">
        <v>22320767000</v>
      </c>
      <c r="I698" s="175">
        <v>0.9147246316356793</v>
      </c>
      <c r="J698" s="177">
        <v>0</v>
      </c>
    </row>
    <row r="699" spans="1:10">
      <c r="A699" s="65">
        <v>8908</v>
      </c>
      <c r="B699" s="175">
        <v>0.45</v>
      </c>
      <c r="C699" s="184">
        <v>1</v>
      </c>
      <c r="D699" s="177">
        <v>135555555.55555555</v>
      </c>
      <c r="E699" s="26"/>
      <c r="F699" s="184">
        <v>8.416666666666671E-4</v>
      </c>
      <c r="G699" s="177">
        <v>5015555555.5555553</v>
      </c>
      <c r="H699" s="177">
        <v>5473626000</v>
      </c>
      <c r="I699" s="175">
        <v>0.91631316344148384</v>
      </c>
      <c r="J699" s="177">
        <v>20.555555555555554</v>
      </c>
    </row>
    <row r="700" spans="1:10">
      <c r="A700" s="65">
        <v>3217</v>
      </c>
      <c r="B700" s="175">
        <v>0.14000000000000001</v>
      </c>
      <c r="C700" s="184">
        <v>0.7931034482758621</v>
      </c>
      <c r="D700" s="177">
        <v>85714285.714285702</v>
      </c>
      <c r="E700" s="26"/>
      <c r="F700" s="184">
        <v>3.0183333333333322E-2</v>
      </c>
      <c r="G700" s="177">
        <v>1144285714.2857141</v>
      </c>
      <c r="H700" s="177">
        <v>1243621000</v>
      </c>
      <c r="I700" s="175">
        <v>0.92012414898567496</v>
      </c>
      <c r="J700" s="177">
        <v>30.058229813664592</v>
      </c>
    </row>
    <row r="701" spans="1:10">
      <c r="A701" s="65">
        <v>3526</v>
      </c>
      <c r="B701" s="175">
        <v>-0.36</v>
      </c>
      <c r="C701" s="184">
        <v>1</v>
      </c>
      <c r="D701" s="177">
        <v>66666666.666666672</v>
      </c>
      <c r="E701" s="26"/>
      <c r="F701" s="184">
        <v>1.6475E-2</v>
      </c>
      <c r="G701" s="177">
        <v>1553333333.3333335</v>
      </c>
      <c r="H701" s="177">
        <v>1684933000</v>
      </c>
      <c r="I701" s="175">
        <v>0.92189620200526279</v>
      </c>
      <c r="J701" s="177">
        <v>0</v>
      </c>
    </row>
    <row r="702" spans="1:10">
      <c r="A702" s="65">
        <v>2726</v>
      </c>
      <c r="B702" s="175">
        <v>0.35</v>
      </c>
      <c r="C702" s="184">
        <v>0.5714285714285714</v>
      </c>
      <c r="D702" s="177">
        <v>28571428.571428575</v>
      </c>
      <c r="E702" s="26"/>
      <c r="F702" s="184">
        <v>2.0808333333333328E-2</v>
      </c>
      <c r="G702" s="177">
        <v>1451428571.4285715</v>
      </c>
      <c r="H702" s="177">
        <v>1572930000</v>
      </c>
      <c r="I702" s="175">
        <v>0.9227547134510572</v>
      </c>
      <c r="J702" s="177">
        <v>50</v>
      </c>
    </row>
    <row r="703" spans="1:10">
      <c r="A703" s="65">
        <v>6235</v>
      </c>
      <c r="B703" s="175">
        <v>0.12</v>
      </c>
      <c r="C703" s="184">
        <v>0</v>
      </c>
      <c r="D703" s="177">
        <v>158333333.33333334</v>
      </c>
      <c r="E703" s="26"/>
      <c r="F703" s="184">
        <v>6.08E-2</v>
      </c>
      <c r="G703" s="177">
        <v>1545333333.3333335</v>
      </c>
      <c r="H703" s="177">
        <v>1671130000</v>
      </c>
      <c r="I703" s="175">
        <v>0.92472359022537653</v>
      </c>
      <c r="J703" s="177">
        <v>0</v>
      </c>
    </row>
    <row r="704" spans="1:10">
      <c r="A704" s="65">
        <v>4104</v>
      </c>
      <c r="B704" s="175">
        <v>0.89</v>
      </c>
      <c r="C704" s="184">
        <v>0.42780748663101603</v>
      </c>
      <c r="D704" s="177">
        <v>113483146.06741573</v>
      </c>
      <c r="E704" s="26"/>
      <c r="F704" s="184">
        <v>1.0449999999999996E-2</v>
      </c>
      <c r="G704" s="177">
        <v>5685505617.9775286</v>
      </c>
      <c r="H704" s="177">
        <v>6139176000</v>
      </c>
      <c r="I704" s="175">
        <v>0.92610239842896325</v>
      </c>
      <c r="J704" s="177">
        <v>32.895716292134836</v>
      </c>
    </row>
    <row r="705" spans="1:10">
      <c r="A705" s="65">
        <v>2511</v>
      </c>
      <c r="B705" s="175">
        <v>0.32</v>
      </c>
      <c r="C705" s="184">
        <v>0.79606188466947958</v>
      </c>
      <c r="D705" s="177">
        <v>1621875000</v>
      </c>
      <c r="E705" s="26"/>
      <c r="F705" s="184">
        <v>0.53125833333333328</v>
      </c>
      <c r="G705" s="177">
        <v>16218750000</v>
      </c>
      <c r="H705" s="177">
        <v>17500874000</v>
      </c>
      <c r="I705" s="175">
        <v>0.92673943027073957</v>
      </c>
      <c r="J705" s="177">
        <v>9.8139355123674896</v>
      </c>
    </row>
    <row r="706" spans="1:10">
      <c r="A706" s="65">
        <v>5011</v>
      </c>
      <c r="B706" s="175">
        <v>0.26</v>
      </c>
      <c r="C706" s="184">
        <v>0</v>
      </c>
      <c r="D706" s="177">
        <v>34615384.615384616</v>
      </c>
      <c r="E706" s="26"/>
      <c r="F706" s="184">
        <v>4.1224999999999991E-2</v>
      </c>
      <c r="G706" s="177">
        <v>872307692.30769229</v>
      </c>
      <c r="H706" s="177">
        <v>936585000</v>
      </c>
      <c r="I706" s="175">
        <v>0.93137055612431574</v>
      </c>
      <c r="J706" s="177">
        <v>0</v>
      </c>
    </row>
    <row r="707" spans="1:10">
      <c r="A707" s="65">
        <v>1730</v>
      </c>
      <c r="B707" s="175">
        <v>0.81</v>
      </c>
      <c r="C707" s="184">
        <v>0.75862068965517238</v>
      </c>
      <c r="D707" s="177">
        <v>53086419.753086418</v>
      </c>
      <c r="E707" s="26"/>
      <c r="F707" s="184">
        <v>3.471666666666666E-2</v>
      </c>
      <c r="G707" s="177">
        <v>1783703703.7037036</v>
      </c>
      <c r="H707" s="177">
        <v>1912641000</v>
      </c>
      <c r="I707" s="175">
        <v>0.93258677593113593</v>
      </c>
      <c r="J707" s="177">
        <v>13.67003367003367</v>
      </c>
    </row>
    <row r="708" spans="1:10">
      <c r="A708" s="65">
        <v>3413</v>
      </c>
      <c r="B708" s="175">
        <v>1.71</v>
      </c>
      <c r="C708" s="184">
        <v>0.96685082872928174</v>
      </c>
      <c r="D708" s="177">
        <v>60233918.128654972</v>
      </c>
      <c r="E708" s="26"/>
      <c r="F708" s="184">
        <v>3.5166666666666666E-2</v>
      </c>
      <c r="G708" s="177">
        <v>4391052631.578948</v>
      </c>
      <c r="H708" s="177">
        <v>4687768000</v>
      </c>
      <c r="I708" s="175">
        <v>0.9367043402273636</v>
      </c>
      <c r="J708" s="177">
        <v>11.023308270676694</v>
      </c>
    </row>
    <row r="709" spans="1:10">
      <c r="A709" s="65">
        <v>8040</v>
      </c>
      <c r="B709" s="175">
        <v>-0.28000000000000003</v>
      </c>
      <c r="C709" s="184">
        <v>1</v>
      </c>
      <c r="D709" s="177">
        <v>82142857.142857134</v>
      </c>
      <c r="E709" s="26"/>
      <c r="F709" s="184">
        <v>3.9858333333333336E-2</v>
      </c>
      <c r="G709" s="177">
        <v>646464285.71428561</v>
      </c>
      <c r="H709" s="177">
        <v>686658000</v>
      </c>
      <c r="I709" s="175">
        <v>0.94146472583773233</v>
      </c>
      <c r="J709" s="177">
        <v>0</v>
      </c>
    </row>
    <row r="710" spans="1:10">
      <c r="A710" s="65">
        <v>2515</v>
      </c>
      <c r="B710" s="175">
        <v>0.01</v>
      </c>
      <c r="C710" s="184">
        <v>0.95544554455445541</v>
      </c>
      <c r="D710" s="177">
        <v>1800000000</v>
      </c>
      <c r="E710" s="26"/>
      <c r="F710" s="184">
        <v>0.14070000000000002</v>
      </c>
      <c r="G710" s="177">
        <v>13770000000</v>
      </c>
      <c r="H710" s="177">
        <v>14618723000</v>
      </c>
      <c r="I710" s="175">
        <v>0.94194274014221346</v>
      </c>
      <c r="J710" s="177">
        <v>50</v>
      </c>
    </row>
    <row r="711" spans="1:10">
      <c r="A711" s="65">
        <v>1618</v>
      </c>
      <c r="B711" s="175">
        <v>-7.0000000000000007E-2</v>
      </c>
      <c r="C711" s="184">
        <v>1</v>
      </c>
      <c r="D711" s="177">
        <v>228571428.57142854</v>
      </c>
      <c r="E711" s="26"/>
      <c r="F711" s="184">
        <v>0.25332499999999997</v>
      </c>
      <c r="G711" s="177">
        <v>1650285714.2857139</v>
      </c>
      <c r="H711" s="177">
        <v>1745914000</v>
      </c>
      <c r="I711" s="175">
        <v>0.94522737906088949</v>
      </c>
      <c r="J711" s="177">
        <v>0</v>
      </c>
    </row>
    <row r="712" spans="1:10">
      <c r="A712" s="65">
        <v>4173</v>
      </c>
      <c r="B712" s="175">
        <v>0.23</v>
      </c>
      <c r="C712" s="184">
        <v>1</v>
      </c>
      <c r="D712" s="177">
        <v>43478260.869565219</v>
      </c>
      <c r="E712" s="26"/>
      <c r="F712" s="184">
        <v>-6.833333333333356E-4</v>
      </c>
      <c r="G712" s="177">
        <v>1271739130.4347827</v>
      </c>
      <c r="H712" s="177">
        <v>1344834000</v>
      </c>
      <c r="I712" s="175">
        <v>0.9456476639011081</v>
      </c>
      <c r="J712" s="177">
        <v>31.793478260869563</v>
      </c>
    </row>
    <row r="713" spans="1:10">
      <c r="A713" s="65">
        <v>3466</v>
      </c>
      <c r="B713" s="175">
        <v>-0.23</v>
      </c>
      <c r="C713" s="184">
        <v>0.61538461538461542</v>
      </c>
      <c r="D713" s="177">
        <v>60869565.217391305</v>
      </c>
      <c r="E713" s="26"/>
      <c r="F713" s="184">
        <v>8.5125000000000006E-2</v>
      </c>
      <c r="G713" s="177">
        <v>1576521739.1304348</v>
      </c>
      <c r="H713" s="177">
        <v>1665648000</v>
      </c>
      <c r="I713" s="175">
        <v>0.94649153910696304</v>
      </c>
      <c r="J713" s="177">
        <v>0</v>
      </c>
    </row>
    <row r="714" spans="1:10">
      <c r="A714" s="65">
        <v>5425</v>
      </c>
      <c r="B714" s="175">
        <v>0.6</v>
      </c>
      <c r="C714" s="184">
        <v>1</v>
      </c>
      <c r="D714" s="177">
        <v>221666666.66666669</v>
      </c>
      <c r="E714" s="26"/>
      <c r="F714" s="184">
        <v>8.7083333333333301E-3</v>
      </c>
      <c r="G714" s="177">
        <v>7093333333.333334</v>
      </c>
      <c r="H714" s="177">
        <v>7493644000</v>
      </c>
      <c r="I714" s="175">
        <v>0.94657997275201944</v>
      </c>
      <c r="J714" s="177">
        <v>13.333333333333334</v>
      </c>
    </row>
    <row r="715" spans="1:10">
      <c r="A715" s="65">
        <v>1539</v>
      </c>
      <c r="B715" s="175">
        <v>0.5</v>
      </c>
      <c r="C715" s="184">
        <v>1</v>
      </c>
      <c r="D715" s="177">
        <v>66000000</v>
      </c>
      <c r="E715" s="26"/>
      <c r="F715" s="184">
        <v>5.1291666666666659E-2</v>
      </c>
      <c r="G715" s="177">
        <v>2564100000</v>
      </c>
      <c r="H715" s="177">
        <v>2682849000</v>
      </c>
      <c r="I715" s="175">
        <v>0.95573772508255217</v>
      </c>
      <c r="J715" s="177">
        <v>19.425000000000001</v>
      </c>
    </row>
    <row r="716" spans="1:10">
      <c r="A716" s="65">
        <v>1773</v>
      </c>
      <c r="B716" s="175">
        <v>1.02</v>
      </c>
      <c r="C716" s="184">
        <v>0.91695501730103801</v>
      </c>
      <c r="D716" s="177">
        <v>150000000</v>
      </c>
      <c r="E716" s="26"/>
      <c r="F716" s="184">
        <v>1.6000000000000007E-3</v>
      </c>
      <c r="G716" s="177">
        <v>6375000000</v>
      </c>
      <c r="H716" s="177">
        <v>6661913000</v>
      </c>
      <c r="I716" s="175">
        <v>0.95693234060546872</v>
      </c>
      <c r="J716" s="177">
        <v>11.360062893081761</v>
      </c>
    </row>
    <row r="717" spans="1:10">
      <c r="A717" s="65">
        <v>2375</v>
      </c>
      <c r="B717" s="175">
        <v>0.17</v>
      </c>
      <c r="C717" s="184">
        <v>0.74193548387096775</v>
      </c>
      <c r="D717" s="177">
        <v>94117647.058823526</v>
      </c>
      <c r="E717" s="26"/>
      <c r="F717" s="184">
        <v>3.3624999999999995E-2</v>
      </c>
      <c r="G717" s="177">
        <v>1416470588.2352941</v>
      </c>
      <c r="H717" s="177">
        <v>1479482000</v>
      </c>
      <c r="I717" s="175">
        <v>0.95740981521592972</v>
      </c>
      <c r="J717" s="177">
        <v>29.830562659846549</v>
      </c>
    </row>
    <row r="718" spans="1:10">
      <c r="A718" s="65">
        <v>1319</v>
      </c>
      <c r="B718" s="175">
        <v>0.22</v>
      </c>
      <c r="C718" s="184">
        <v>1</v>
      </c>
      <c r="D718" s="177">
        <v>586363636.36363637</v>
      </c>
      <c r="E718" s="26"/>
      <c r="F718" s="184">
        <v>9.3249999999999982E-3</v>
      </c>
      <c r="G718" s="177">
        <v>20991818181.81818</v>
      </c>
      <c r="H718" s="177">
        <v>21882161000</v>
      </c>
      <c r="I718" s="175">
        <v>0.95931193367136725</v>
      </c>
      <c r="J718" s="177">
        <v>40.68181818181818</v>
      </c>
    </row>
    <row r="719" spans="1:10">
      <c r="A719" s="65">
        <v>5328</v>
      </c>
      <c r="B719" s="175">
        <v>7.0000000000000007E-2</v>
      </c>
      <c r="C719" s="184">
        <v>1</v>
      </c>
      <c r="D719" s="177">
        <v>171428571.4285714</v>
      </c>
      <c r="E719" s="26"/>
      <c r="F719" s="184">
        <v>6.4416666666666676E-3</v>
      </c>
      <c r="G719" s="177">
        <v>1011428571.4285713</v>
      </c>
      <c r="H719" s="177">
        <v>1054267000</v>
      </c>
      <c r="I719" s="175">
        <v>0.95936662290346875</v>
      </c>
      <c r="J719" s="177">
        <v>21.071428571428569</v>
      </c>
    </row>
    <row r="720" spans="1:10">
      <c r="A720" s="65">
        <v>8463</v>
      </c>
      <c r="B720" s="175">
        <v>0.69</v>
      </c>
      <c r="C720" s="184">
        <v>1</v>
      </c>
      <c r="D720" s="177">
        <v>134782608.69565219</v>
      </c>
      <c r="E720" s="26"/>
      <c r="F720" s="184">
        <v>-1.6633333333333337E-2</v>
      </c>
      <c r="G720" s="177">
        <v>3511086956.5217395</v>
      </c>
      <c r="H720" s="177">
        <v>3650373000</v>
      </c>
      <c r="I720" s="175">
        <v>0.96184333944003519</v>
      </c>
      <c r="J720" s="177">
        <v>9.438405797101451</v>
      </c>
    </row>
    <row r="721" spans="1:10">
      <c r="A721" s="65">
        <v>2364</v>
      </c>
      <c r="B721" s="175">
        <v>-0.32</v>
      </c>
      <c r="C721" s="184">
        <v>0.93220338983050843</v>
      </c>
      <c r="D721" s="177">
        <v>181250000</v>
      </c>
      <c r="E721" s="26"/>
      <c r="F721" s="184">
        <v>1.0324999999999999E-2</v>
      </c>
      <c r="G721" s="177">
        <v>725000000</v>
      </c>
      <c r="H721" s="177">
        <v>753678000</v>
      </c>
      <c r="I721" s="175">
        <v>0.96194926745904752</v>
      </c>
      <c r="J721" s="177">
        <v>0</v>
      </c>
    </row>
    <row r="722" spans="1:10">
      <c r="A722" s="65">
        <v>5212</v>
      </c>
      <c r="B722" s="175">
        <v>0.28999999999999998</v>
      </c>
      <c r="C722" s="184">
        <v>0.5</v>
      </c>
      <c r="D722" s="177">
        <v>34482758.62068966</v>
      </c>
      <c r="E722" s="26"/>
      <c r="F722" s="184">
        <v>7.3441666666666655E-2</v>
      </c>
      <c r="G722" s="177">
        <v>612068965.51724148</v>
      </c>
      <c r="H722" s="177">
        <v>636109000</v>
      </c>
      <c r="I722" s="175">
        <v>0.96220768062901407</v>
      </c>
      <c r="J722" s="177">
        <v>30.603448275862071</v>
      </c>
    </row>
    <row r="723" spans="1:10">
      <c r="A723" s="65">
        <v>6422</v>
      </c>
      <c r="B723" s="175">
        <v>1.46</v>
      </c>
      <c r="C723" s="184">
        <v>1</v>
      </c>
      <c r="D723" s="177">
        <v>36986301.369863011</v>
      </c>
      <c r="E723" s="26"/>
      <c r="F723" s="184">
        <v>4.8533333333333345E-2</v>
      </c>
      <c r="G723" s="177">
        <v>1986164383.5616438</v>
      </c>
      <c r="H723" s="177">
        <v>2059942000</v>
      </c>
      <c r="I723" s="175">
        <v>0.9641846146938331</v>
      </c>
      <c r="J723" s="177">
        <v>9.1952054794520564</v>
      </c>
    </row>
    <row r="724" spans="1:10">
      <c r="A724" s="65">
        <v>5426</v>
      </c>
      <c r="B724" s="175">
        <v>0</v>
      </c>
      <c r="C724" s="184">
        <v>0</v>
      </c>
      <c r="D724" s="177">
        <v>143800000</v>
      </c>
      <c r="E724" s="26"/>
      <c r="F724" s="184">
        <v>-1.1999999999999997E-3</v>
      </c>
      <c r="G724" s="177">
        <v>1588990000</v>
      </c>
      <c r="H724" s="177">
        <v>1646138000</v>
      </c>
      <c r="I724" s="175">
        <v>0.96528359104765216</v>
      </c>
      <c r="J724" s="177">
        <v>0</v>
      </c>
    </row>
    <row r="725" spans="1:10">
      <c r="A725" s="65">
        <v>5392</v>
      </c>
      <c r="B725" s="175">
        <v>0.16</v>
      </c>
      <c r="C725" s="184">
        <v>0</v>
      </c>
      <c r="D725" s="177">
        <v>93750000</v>
      </c>
      <c r="E725" s="26"/>
      <c r="F725" s="184">
        <v>8.7633333333333341E-2</v>
      </c>
      <c r="G725" s="177">
        <v>5278125000</v>
      </c>
      <c r="H725" s="177">
        <v>5467176000</v>
      </c>
      <c r="I725" s="175">
        <v>0.96542072177665395</v>
      </c>
      <c r="J725" s="177">
        <v>0</v>
      </c>
    </row>
    <row r="726" spans="1:10">
      <c r="A726" s="65">
        <v>1815</v>
      </c>
      <c r="B726" s="175">
        <v>0.18</v>
      </c>
      <c r="C726" s="184">
        <v>1</v>
      </c>
      <c r="D726" s="177">
        <v>411111111.1111111</v>
      </c>
      <c r="E726" s="26"/>
      <c r="F726" s="184">
        <v>1.8000000000000006E-3</v>
      </c>
      <c r="G726" s="177">
        <v>4727777777.7777777</v>
      </c>
      <c r="H726" s="177">
        <v>4871894000</v>
      </c>
      <c r="I726" s="175">
        <v>0.97041885102134362</v>
      </c>
      <c r="J726" s="177">
        <v>15.972222222222223</v>
      </c>
    </row>
    <row r="727" spans="1:10">
      <c r="A727" s="65">
        <v>3432</v>
      </c>
      <c r="B727" s="175">
        <v>-0.18</v>
      </c>
      <c r="C727" s="184">
        <v>1</v>
      </c>
      <c r="D727" s="177">
        <v>66666666.666666672</v>
      </c>
      <c r="E727" s="26"/>
      <c r="F727" s="184">
        <v>-3.2091666666666664E-2</v>
      </c>
      <c r="G727" s="177">
        <v>926666666.66666675</v>
      </c>
      <c r="H727" s="177">
        <v>953446000</v>
      </c>
      <c r="I727" s="175">
        <v>0.97191310956956845</v>
      </c>
      <c r="J727" s="177">
        <v>0</v>
      </c>
    </row>
    <row r="728" spans="1:10">
      <c r="A728" s="65">
        <v>9911</v>
      </c>
      <c r="B728" s="175">
        <v>0.22</v>
      </c>
      <c r="C728" s="184">
        <v>1</v>
      </c>
      <c r="D728" s="177">
        <v>272727272.72727275</v>
      </c>
      <c r="E728" s="26"/>
      <c r="F728" s="184">
        <v>1.9450000000000005E-2</v>
      </c>
      <c r="G728" s="177">
        <v>4909090909.09091</v>
      </c>
      <c r="H728" s="177">
        <v>5040243000</v>
      </c>
      <c r="I728" s="175">
        <v>0.97397901432349787</v>
      </c>
      <c r="J728" s="177">
        <v>20.454545454545453</v>
      </c>
    </row>
    <row r="729" spans="1:10">
      <c r="A729" s="65">
        <v>3492</v>
      </c>
      <c r="B729" s="175">
        <v>0.56000000000000005</v>
      </c>
      <c r="C729" s="184">
        <v>0.96153846153846156</v>
      </c>
      <c r="D729" s="177">
        <v>33928571.428571425</v>
      </c>
      <c r="E729" s="26"/>
      <c r="F729" s="184">
        <v>3.1425000000000008E-2</v>
      </c>
      <c r="G729" s="177">
        <v>1063660714.2857143</v>
      </c>
      <c r="H729" s="177">
        <v>1091992000</v>
      </c>
      <c r="I729" s="175">
        <v>0.9740554090924789</v>
      </c>
      <c r="J729" s="177">
        <v>14.555357142857142</v>
      </c>
    </row>
    <row r="730" spans="1:10">
      <c r="A730" s="65">
        <v>1808</v>
      </c>
      <c r="B730" s="175">
        <v>-0.16</v>
      </c>
      <c r="C730" s="184">
        <v>1</v>
      </c>
      <c r="D730" s="177">
        <v>218750000</v>
      </c>
      <c r="E730" s="26"/>
      <c r="F730" s="184">
        <v>27.431700000000003</v>
      </c>
      <c r="G730" s="177">
        <v>6234375000</v>
      </c>
      <c r="H730" s="177">
        <v>6394662000</v>
      </c>
      <c r="I730" s="175">
        <v>0.97493424984776367</v>
      </c>
      <c r="J730" s="177">
        <v>0</v>
      </c>
    </row>
    <row r="731" spans="1:10">
      <c r="A731" s="65">
        <v>6214</v>
      </c>
      <c r="B731" s="175">
        <v>0.73</v>
      </c>
      <c r="C731" s="184">
        <v>0.33234421364985162</v>
      </c>
      <c r="D731" s="177">
        <v>246575342.46575344</v>
      </c>
      <c r="E731" s="26"/>
      <c r="F731" s="184">
        <v>8.6016666666666672E-2</v>
      </c>
      <c r="G731" s="177">
        <v>15657534246.575344</v>
      </c>
      <c r="H731" s="177">
        <v>16053275000</v>
      </c>
      <c r="I731" s="175">
        <v>0.97534828541686003</v>
      </c>
      <c r="J731" s="177">
        <v>50</v>
      </c>
    </row>
    <row r="732" spans="1:10">
      <c r="A732" s="65">
        <v>8427</v>
      </c>
      <c r="B732" s="175">
        <v>-0.6</v>
      </c>
      <c r="C732" s="184">
        <v>0.62285714285714289</v>
      </c>
      <c r="D732" s="177">
        <v>105000000</v>
      </c>
      <c r="E732" s="26"/>
      <c r="F732" s="184">
        <v>0.75396666666666656</v>
      </c>
      <c r="G732" s="177">
        <v>5953500000</v>
      </c>
      <c r="H732" s="177">
        <v>6064117000</v>
      </c>
      <c r="I732" s="175">
        <v>0.98175876224024039</v>
      </c>
      <c r="J732" s="177">
        <v>0</v>
      </c>
    </row>
    <row r="733" spans="1:10">
      <c r="A733" s="65">
        <v>1459</v>
      </c>
      <c r="B733" s="175">
        <v>0.37</v>
      </c>
      <c r="C733" s="184">
        <v>0.41262135922330095</v>
      </c>
      <c r="D733" s="177">
        <v>316216216.21621621</v>
      </c>
      <c r="E733" s="26"/>
      <c r="F733" s="184">
        <v>1.3175000000000001E-2</v>
      </c>
      <c r="G733" s="177">
        <v>3952702702.7027025</v>
      </c>
      <c r="H733" s="177">
        <v>4019231000</v>
      </c>
      <c r="I733" s="175">
        <v>0.98344750592904528</v>
      </c>
      <c r="J733" s="177">
        <v>20.46899841017488</v>
      </c>
    </row>
    <row r="734" spans="1:10">
      <c r="A734" s="65">
        <v>3504</v>
      </c>
      <c r="B734" s="175">
        <v>0.31</v>
      </c>
      <c r="C734" s="184">
        <v>0.33962264150943394</v>
      </c>
      <c r="D734" s="177">
        <v>112903225.80645162</v>
      </c>
      <c r="E734" s="26"/>
      <c r="F734" s="184">
        <v>4.5283333333333321E-2</v>
      </c>
      <c r="G734" s="177">
        <v>4600806451.6129036</v>
      </c>
      <c r="H734" s="177">
        <v>4666889000</v>
      </c>
      <c r="I734" s="175">
        <v>0.98584012853378422</v>
      </c>
      <c r="J734" s="177">
        <v>50</v>
      </c>
    </row>
    <row r="735" spans="1:10">
      <c r="A735" s="65">
        <v>6509</v>
      </c>
      <c r="B735" s="175">
        <v>0.21</v>
      </c>
      <c r="C735" s="184">
        <v>1</v>
      </c>
      <c r="D735" s="177">
        <v>161904761.90476191</v>
      </c>
      <c r="E735" s="26"/>
      <c r="F735" s="184">
        <v>-2.2749999999999997E-3</v>
      </c>
      <c r="G735" s="177">
        <v>3100476190.4761906</v>
      </c>
      <c r="H735" s="177">
        <v>3140321000</v>
      </c>
      <c r="I735" s="175">
        <v>0.98731186731426201</v>
      </c>
      <c r="J735" s="177">
        <v>22.797619047619047</v>
      </c>
    </row>
    <row r="736" spans="1:10">
      <c r="A736" s="65">
        <v>3291</v>
      </c>
      <c r="B736" s="175">
        <v>0.13</v>
      </c>
      <c r="C736" s="184">
        <v>1</v>
      </c>
      <c r="D736" s="177">
        <v>38461538.461538464</v>
      </c>
      <c r="E736" s="26"/>
      <c r="F736" s="184">
        <v>1.0558333333333334E-2</v>
      </c>
      <c r="G736" s="177">
        <v>694230769.23076928</v>
      </c>
      <c r="H736" s="177">
        <v>702034000</v>
      </c>
      <c r="I736" s="175">
        <v>0.98888482499532682</v>
      </c>
      <c r="J736" s="177">
        <v>34.71153846153846</v>
      </c>
    </row>
    <row r="737" spans="1:10">
      <c r="A737" s="65">
        <v>3339</v>
      </c>
      <c r="B737" s="175">
        <v>-0.66</v>
      </c>
      <c r="C737" s="184">
        <v>0.97187500000000004</v>
      </c>
      <c r="D737" s="177">
        <v>277272727.27272725</v>
      </c>
      <c r="E737" s="26"/>
      <c r="F737" s="184">
        <v>-4.8066666666666667E-2</v>
      </c>
      <c r="G737" s="177">
        <v>1264363636.3636363</v>
      </c>
      <c r="H737" s="177">
        <v>1272225000</v>
      </c>
      <c r="I737" s="175">
        <v>0.99382077569898108</v>
      </c>
      <c r="J737" s="177">
        <v>0</v>
      </c>
    </row>
    <row r="738" spans="1:10">
      <c r="A738" s="65">
        <v>2311</v>
      </c>
      <c r="B738" s="175">
        <v>0.48</v>
      </c>
      <c r="C738" s="184">
        <v>1</v>
      </c>
      <c r="D738" s="177">
        <v>7606250000</v>
      </c>
      <c r="E738" s="26"/>
      <c r="F738" s="184">
        <v>1.4466666666666664E-2</v>
      </c>
      <c r="G738" s="177">
        <v>282952500000</v>
      </c>
      <c r="H738" s="177">
        <v>284399089000</v>
      </c>
      <c r="I738" s="175">
        <v>0.99491352449444725</v>
      </c>
      <c r="J738" s="177">
        <v>19.375000000000004</v>
      </c>
    </row>
    <row r="739" spans="1:10">
      <c r="A739" s="65">
        <v>3068</v>
      </c>
      <c r="B739" s="175">
        <v>0.28999999999999998</v>
      </c>
      <c r="C739" s="184">
        <v>1</v>
      </c>
      <c r="D739" s="177">
        <v>82758620.689655185</v>
      </c>
      <c r="E739" s="26"/>
      <c r="F739" s="184">
        <v>1.3808333333333334E-2</v>
      </c>
      <c r="G739" s="177">
        <v>2673103448.2758622</v>
      </c>
      <c r="H739" s="177">
        <v>2681196000</v>
      </c>
      <c r="I739" s="175">
        <v>0.99698173810339197</v>
      </c>
      <c r="J739" s="177">
        <v>27.844827586206897</v>
      </c>
    </row>
    <row r="740" spans="1:10">
      <c r="A740" s="65">
        <v>6176</v>
      </c>
      <c r="B740" s="175">
        <v>0.03</v>
      </c>
      <c r="C740" s="184">
        <v>0.40389294403892945</v>
      </c>
      <c r="D740" s="177">
        <v>500000000</v>
      </c>
      <c r="E740" s="26"/>
      <c r="F740" s="184">
        <v>4.0366666666666669E-2</v>
      </c>
      <c r="G740" s="177">
        <v>50500000000</v>
      </c>
      <c r="H740" s="177">
        <v>50621498000</v>
      </c>
      <c r="I740" s="175">
        <v>0.99759987347667978</v>
      </c>
      <c r="J740" s="177">
        <v>50</v>
      </c>
    </row>
    <row r="741" spans="1:10">
      <c r="A741" s="65">
        <v>2478</v>
      </c>
      <c r="B741" s="175">
        <v>0.18</v>
      </c>
      <c r="C741" s="184">
        <v>0.84444444444444444</v>
      </c>
      <c r="D741" s="177">
        <v>261111111.11111113</v>
      </c>
      <c r="E741" s="26"/>
      <c r="F741" s="184">
        <v>2.0941666666666667E-2</v>
      </c>
      <c r="G741" s="177">
        <v>3916666666.666667</v>
      </c>
      <c r="H741" s="177">
        <v>3922416000</v>
      </c>
      <c r="I741" s="175">
        <v>0.99853423672212915</v>
      </c>
      <c r="J741" s="177">
        <v>24.671052631578949</v>
      </c>
    </row>
    <row r="742" spans="1:10">
      <c r="A742" s="65">
        <v>5276</v>
      </c>
      <c r="B742" s="175">
        <v>0.42</v>
      </c>
      <c r="C742" s="184">
        <v>1</v>
      </c>
      <c r="D742" s="177">
        <v>38095238.095238097</v>
      </c>
      <c r="E742" s="26"/>
      <c r="F742" s="184">
        <v>2.1483333333333327E-2</v>
      </c>
      <c r="G742" s="177">
        <v>843809523.80952382</v>
      </c>
      <c r="H742" s="177">
        <v>843931000</v>
      </c>
      <c r="I742" s="175">
        <v>0.99985605909668418</v>
      </c>
      <c r="J742" s="177">
        <v>13.184523809523808</v>
      </c>
    </row>
    <row r="743" spans="1:10">
      <c r="A743" s="65">
        <v>5907</v>
      </c>
      <c r="B743" s="175">
        <v>1.1200000000000001</v>
      </c>
      <c r="C743" s="184">
        <v>0.9387417218543046</v>
      </c>
      <c r="D743" s="177">
        <v>197321428.57142857</v>
      </c>
      <c r="E743" s="26"/>
      <c r="F743" s="184">
        <v>1.4641666666666669E-2</v>
      </c>
      <c r="G743" s="177">
        <v>7606741071.4285707</v>
      </c>
      <c r="H743" s="177">
        <v>7602764000</v>
      </c>
      <c r="I743" s="175">
        <v>1.0005231086258328</v>
      </c>
      <c r="J743" s="177">
        <v>9.1664304610733165</v>
      </c>
    </row>
    <row r="744" spans="1:10">
      <c r="A744" s="65">
        <v>3311</v>
      </c>
      <c r="B744" s="175">
        <v>0.31</v>
      </c>
      <c r="C744" s="184">
        <v>0.25842696629213485</v>
      </c>
      <c r="D744" s="177">
        <v>190322580.6451613</v>
      </c>
      <c r="E744" s="26"/>
      <c r="F744" s="184">
        <v>-1.5258333333333332E-2</v>
      </c>
      <c r="G744" s="177">
        <v>3616129032.2580647</v>
      </c>
      <c r="H744" s="177">
        <v>3604918000</v>
      </c>
      <c r="I744" s="175">
        <v>1.0031099271212451</v>
      </c>
      <c r="J744" s="177">
        <v>50</v>
      </c>
    </row>
    <row r="745" spans="1:10">
      <c r="A745" s="65">
        <v>2340</v>
      </c>
      <c r="B745" s="175">
        <v>0.27</v>
      </c>
      <c r="C745" s="184">
        <v>0.89411764705882357</v>
      </c>
      <c r="D745" s="177">
        <v>544444444.44444442</v>
      </c>
      <c r="E745" s="26"/>
      <c r="F745" s="184">
        <v>2.0833333333333329E-3</v>
      </c>
      <c r="G745" s="177">
        <v>5743888888.8888893</v>
      </c>
      <c r="H745" s="177">
        <v>5723071000</v>
      </c>
      <c r="I745" s="175">
        <v>1.0036375381135214</v>
      </c>
      <c r="J745" s="177">
        <v>10.925316764132553</v>
      </c>
    </row>
    <row r="746" spans="1:10">
      <c r="A746" s="65">
        <v>5102</v>
      </c>
      <c r="B746" s="175">
        <v>0.23</v>
      </c>
      <c r="C746" s="184">
        <v>0.68181818181818177</v>
      </c>
      <c r="D746" s="177">
        <v>60869565.217391305</v>
      </c>
      <c r="E746" s="26"/>
      <c r="F746" s="184">
        <v>-9.8666666666666625E-3</v>
      </c>
      <c r="G746" s="177">
        <v>873478260.86956525</v>
      </c>
      <c r="H746" s="177">
        <v>870016000</v>
      </c>
      <c r="I746" s="175">
        <v>1.0039795370080151</v>
      </c>
      <c r="J746" s="177">
        <v>22.876811594202902</v>
      </c>
    </row>
    <row r="747" spans="1:10">
      <c r="A747" s="65">
        <v>3306</v>
      </c>
      <c r="B747" s="175">
        <v>0.6</v>
      </c>
      <c r="C747" s="184">
        <v>0</v>
      </c>
      <c r="D747" s="177">
        <v>50000000</v>
      </c>
      <c r="E747" s="26"/>
      <c r="F747" s="184">
        <v>9.3166666666666606E-3</v>
      </c>
      <c r="G747" s="177">
        <v>1345000000</v>
      </c>
      <c r="H747" s="177">
        <v>1339190000</v>
      </c>
      <c r="I747" s="175">
        <v>1.0043384433874207</v>
      </c>
      <c r="J747" s="177">
        <v>0</v>
      </c>
    </row>
    <row r="748" spans="1:10">
      <c r="A748" s="65">
        <v>3299</v>
      </c>
      <c r="B748" s="175">
        <v>1.35</v>
      </c>
      <c r="C748" s="184">
        <v>0.73103448275862071</v>
      </c>
      <c r="D748" s="177">
        <v>50370370.370370366</v>
      </c>
      <c r="E748" s="26"/>
      <c r="F748" s="184">
        <v>6.8333333333333328E-3</v>
      </c>
      <c r="G748" s="177">
        <v>2679703703.7037034</v>
      </c>
      <c r="H748" s="177">
        <v>2667897000</v>
      </c>
      <c r="I748" s="175">
        <v>1.0044254720867047</v>
      </c>
      <c r="J748" s="177">
        <v>13.476589797344513</v>
      </c>
    </row>
    <row r="749" spans="1:10">
      <c r="A749" s="65">
        <v>1599</v>
      </c>
      <c r="B749" s="175">
        <v>1.46</v>
      </c>
      <c r="C749" s="184">
        <v>0.87301587301587302</v>
      </c>
      <c r="D749" s="177">
        <v>45205479.452054799</v>
      </c>
      <c r="E749" s="26"/>
      <c r="F749" s="184">
        <v>0.12881666666666666</v>
      </c>
      <c r="G749" s="177">
        <v>2829863013.6986303</v>
      </c>
      <c r="H749" s="177">
        <v>2815893000</v>
      </c>
      <c r="I749" s="175">
        <v>1.0049611308734494</v>
      </c>
      <c r="J749" s="177">
        <v>12.278331257783314</v>
      </c>
    </row>
    <row r="750" spans="1:10">
      <c r="A750" s="65">
        <v>6205</v>
      </c>
      <c r="B750" s="175">
        <v>0.69</v>
      </c>
      <c r="C750" s="184">
        <v>0.80208333333333337</v>
      </c>
      <c r="D750" s="177">
        <v>72463768.115942031</v>
      </c>
      <c r="E750" s="26"/>
      <c r="F750" s="184">
        <v>-1.3074999999999996E-2</v>
      </c>
      <c r="G750" s="177">
        <v>2271739130.434783</v>
      </c>
      <c r="H750" s="177">
        <v>2260424000</v>
      </c>
      <c r="I750" s="175">
        <v>1.0050057557497103</v>
      </c>
      <c r="J750" s="177">
        <v>14.161490683229813</v>
      </c>
    </row>
    <row r="751" spans="1:10">
      <c r="A751" s="65">
        <v>8935</v>
      </c>
      <c r="B751" s="175">
        <v>-0.25</v>
      </c>
      <c r="C751" s="184">
        <v>1</v>
      </c>
      <c r="D751" s="177">
        <v>120000000</v>
      </c>
      <c r="E751" s="26"/>
      <c r="F751" s="184">
        <v>5.1833333333333306E-3</v>
      </c>
      <c r="G751" s="177">
        <v>762000000</v>
      </c>
      <c r="H751" s="177">
        <v>758194000</v>
      </c>
      <c r="I751" s="175">
        <v>1.0050198234225014</v>
      </c>
      <c r="J751" s="177">
        <v>0</v>
      </c>
    </row>
    <row r="752" spans="1:10">
      <c r="A752" s="65">
        <v>3675</v>
      </c>
      <c r="B752" s="175">
        <v>0.68</v>
      </c>
      <c r="C752" s="184">
        <v>1</v>
      </c>
      <c r="D752" s="177">
        <v>44117647.058823526</v>
      </c>
      <c r="E752" s="26"/>
      <c r="F752" s="184">
        <v>-4.7500000000000206E-4</v>
      </c>
      <c r="G752" s="177">
        <v>1078676470.5882351</v>
      </c>
      <c r="H752" s="177">
        <v>1073122000</v>
      </c>
      <c r="I752" s="175">
        <v>1.0051759917215706</v>
      </c>
      <c r="J752" s="177">
        <v>8.9889705882352935</v>
      </c>
    </row>
    <row r="753" spans="1:10">
      <c r="A753" s="65">
        <v>6292</v>
      </c>
      <c r="B753" s="175">
        <v>0.77</v>
      </c>
      <c r="C753" s="184">
        <v>0.78125</v>
      </c>
      <c r="D753" s="177">
        <v>46753246.753246754</v>
      </c>
      <c r="E753" s="26"/>
      <c r="F753" s="184">
        <v>4.6649999999999997E-2</v>
      </c>
      <c r="G753" s="177">
        <v>1379220779.2207792</v>
      </c>
      <c r="H753" s="177">
        <v>1370316000</v>
      </c>
      <c r="I753" s="175">
        <v>1.0064983399601108</v>
      </c>
      <c r="J753" s="177">
        <v>12.25974025974026</v>
      </c>
    </row>
    <row r="754" spans="1:10">
      <c r="A754" s="65">
        <v>1701</v>
      </c>
      <c r="B754" s="175">
        <v>0.33</v>
      </c>
      <c r="C754" s="184">
        <v>0.55392156862745101</v>
      </c>
      <c r="D754" s="177">
        <v>300000000</v>
      </c>
      <c r="E754" s="26"/>
      <c r="F754" s="184">
        <v>1.4016666666666665E-2</v>
      </c>
      <c r="G754" s="177">
        <v>5610000000</v>
      </c>
      <c r="H754" s="177">
        <v>5567167000</v>
      </c>
      <c r="I754" s="175">
        <v>1.0076938593722804</v>
      </c>
      <c r="J754" s="177">
        <v>25.575221238938052</v>
      </c>
    </row>
    <row r="755" spans="1:10">
      <c r="A755" s="65">
        <v>4414</v>
      </c>
      <c r="B755" s="175">
        <v>-0.42</v>
      </c>
      <c r="C755" s="184">
        <v>0.60909090909090913</v>
      </c>
      <c r="D755" s="177">
        <v>133333333.33333334</v>
      </c>
      <c r="E755" s="26"/>
      <c r="F755" s="184">
        <v>8.6366666666666689E-2</v>
      </c>
      <c r="G755" s="177">
        <v>2486666666.6666665</v>
      </c>
      <c r="H755" s="177">
        <v>2457944000</v>
      </c>
      <c r="I755" s="175">
        <v>1.0116856472998028</v>
      </c>
      <c r="J755" s="177">
        <v>0</v>
      </c>
    </row>
    <row r="756" spans="1:10">
      <c r="A756" s="65">
        <v>3548</v>
      </c>
      <c r="B756" s="175">
        <v>0.01</v>
      </c>
      <c r="C756" s="184">
        <v>0.57894736842105265</v>
      </c>
      <c r="D756" s="177">
        <v>100000000</v>
      </c>
      <c r="E756" s="26"/>
      <c r="F756" s="184">
        <v>2.2516666666666671E-2</v>
      </c>
      <c r="G756" s="177">
        <v>3760000000</v>
      </c>
      <c r="H756" s="177">
        <v>3706086000</v>
      </c>
      <c r="I756" s="175">
        <v>1.0145474228067022</v>
      </c>
      <c r="J756" s="177">
        <v>50</v>
      </c>
    </row>
    <row r="757" spans="1:10">
      <c r="A757" s="65">
        <v>2002</v>
      </c>
      <c r="B757" s="175">
        <v>0.18</v>
      </c>
      <c r="C757" s="184">
        <v>0.9681194029850746</v>
      </c>
      <c r="D757" s="177">
        <v>15827777777.777779</v>
      </c>
      <c r="E757" s="26"/>
      <c r="F757" s="184">
        <v>-2.7449999999999999E-2</v>
      </c>
      <c r="G757" s="177">
        <v>316555555555.55554</v>
      </c>
      <c r="H757" s="177">
        <v>311738948000</v>
      </c>
      <c r="I757" s="175">
        <v>1.0154507724699049</v>
      </c>
      <c r="J757" s="177">
        <v>28.692512196458914</v>
      </c>
    </row>
    <row r="758" spans="1:10">
      <c r="A758" s="65">
        <v>1506</v>
      </c>
      <c r="B758" s="175">
        <v>0.04</v>
      </c>
      <c r="C758" s="184">
        <v>1</v>
      </c>
      <c r="D758" s="177">
        <v>100000000</v>
      </c>
      <c r="E758" s="26"/>
      <c r="F758" s="184">
        <v>-1.8916666666666665E-3</v>
      </c>
      <c r="G758" s="177">
        <v>1600000000</v>
      </c>
      <c r="H758" s="177">
        <v>1574472000</v>
      </c>
      <c r="I758" s="175">
        <v>1.0162136894146101</v>
      </c>
      <c r="J758" s="177">
        <v>50</v>
      </c>
    </row>
    <row r="759" spans="1:10">
      <c r="A759" s="65">
        <v>1236</v>
      </c>
      <c r="B759" s="180">
        <v>-0.23</v>
      </c>
      <c r="C759" s="184">
        <v>0.89583333333333337</v>
      </c>
      <c r="D759" s="181">
        <v>108695652.17391303</v>
      </c>
      <c r="E759" s="179"/>
      <c r="F759" s="184">
        <v>6.5475000000000005E-2</v>
      </c>
      <c r="G759" s="181">
        <v>2369565217.391304</v>
      </c>
      <c r="H759" s="181">
        <v>2327104000</v>
      </c>
      <c r="I759" s="180">
        <v>1.0182463772101737</v>
      </c>
      <c r="J759" s="181">
        <v>0</v>
      </c>
    </row>
    <row r="760" spans="1:10">
      <c r="A760" s="65">
        <v>8210</v>
      </c>
      <c r="B760" s="175">
        <v>0.95</v>
      </c>
      <c r="C760" s="184">
        <v>0.99004975124378114</v>
      </c>
      <c r="D760" s="177">
        <v>118947368.42105263</v>
      </c>
      <c r="E760" s="26"/>
      <c r="F760" s="184">
        <v>2.3699999999999999E-2</v>
      </c>
      <c r="G760" s="177">
        <v>4508105263.1578951</v>
      </c>
      <c r="H760" s="177">
        <v>4418728000</v>
      </c>
      <c r="I760" s="175">
        <v>1.0202269212221018</v>
      </c>
      <c r="J760" s="177">
        <v>10.073922242792912</v>
      </c>
    </row>
    <row r="761" spans="1:10">
      <c r="A761" s="65">
        <v>3666</v>
      </c>
      <c r="B761" s="175">
        <v>-0.4</v>
      </c>
      <c r="C761" s="184">
        <v>0.68421052631578949</v>
      </c>
      <c r="D761" s="177">
        <v>47500000</v>
      </c>
      <c r="E761" s="26"/>
      <c r="F761" s="184">
        <v>1.0874999999999991E-2</v>
      </c>
      <c r="G761" s="177">
        <v>1144750000</v>
      </c>
      <c r="H761" s="177">
        <v>1118484000</v>
      </c>
      <c r="I761" s="175">
        <v>1.0234835724069364</v>
      </c>
      <c r="J761" s="177">
        <v>0</v>
      </c>
    </row>
    <row r="762" spans="1:10">
      <c r="A762" s="65">
        <v>2423</v>
      </c>
      <c r="B762" s="175">
        <v>0.31</v>
      </c>
      <c r="C762" s="184">
        <v>0.97701149425287359</v>
      </c>
      <c r="D762" s="177">
        <v>129032258.06451613</v>
      </c>
      <c r="E762" s="26"/>
      <c r="F762" s="184">
        <v>4.2808333333333337E-2</v>
      </c>
      <c r="G762" s="177">
        <v>2167741935.483871</v>
      </c>
      <c r="H762" s="177">
        <v>2116559000</v>
      </c>
      <c r="I762" s="175">
        <v>1.0241821444542161</v>
      </c>
      <c r="J762" s="177">
        <v>13.867172675521822</v>
      </c>
    </row>
    <row r="763" spans="1:10">
      <c r="A763" s="65">
        <v>4120</v>
      </c>
      <c r="B763" s="175">
        <v>0.3</v>
      </c>
      <c r="C763" s="184">
        <v>1</v>
      </c>
      <c r="D763" s="177">
        <v>86666666.666666672</v>
      </c>
      <c r="E763" s="26"/>
      <c r="F763" s="184">
        <v>-2.141666666666668E-3</v>
      </c>
      <c r="G763" s="177">
        <v>5096000000</v>
      </c>
      <c r="H763" s="177">
        <v>4961467000</v>
      </c>
      <c r="I763" s="175">
        <v>1.0271155688428442</v>
      </c>
      <c r="J763" s="177">
        <v>49</v>
      </c>
    </row>
    <row r="764" spans="1:10">
      <c r="A764" s="65">
        <v>2611</v>
      </c>
      <c r="B764" s="175">
        <v>0</v>
      </c>
      <c r="C764" s="184">
        <v>0</v>
      </c>
      <c r="D764" s="177">
        <v>175600000</v>
      </c>
      <c r="E764" s="26"/>
      <c r="F764" s="184">
        <v>-1.9233333333333331E-2</v>
      </c>
      <c r="G764" s="177">
        <v>1410068000</v>
      </c>
      <c r="H764" s="177">
        <v>1370178000</v>
      </c>
      <c r="I764" s="175">
        <v>1.0291130057554565</v>
      </c>
      <c r="J764" s="177">
        <v>0</v>
      </c>
    </row>
    <row r="765" spans="1:10">
      <c r="A765" s="65">
        <v>6192</v>
      </c>
      <c r="B765" s="175">
        <v>0.98</v>
      </c>
      <c r="C765" s="184">
        <v>0.97607655502392343</v>
      </c>
      <c r="D765" s="177">
        <v>119387755.10204081</v>
      </c>
      <c r="E765" s="26"/>
      <c r="F765" s="184">
        <v>9.8249999999999935E-3</v>
      </c>
      <c r="G765" s="177">
        <v>5515714285.7142859</v>
      </c>
      <c r="H765" s="177">
        <v>5350772000</v>
      </c>
      <c r="I765" s="175">
        <v>1.0308258856318837</v>
      </c>
      <c r="J765" s="177">
        <v>12.074579831932775</v>
      </c>
    </row>
    <row r="766" spans="1:10">
      <c r="A766" s="65">
        <v>3031</v>
      </c>
      <c r="B766" s="175">
        <v>-0.11</v>
      </c>
      <c r="C766" s="184">
        <v>1</v>
      </c>
      <c r="D766" s="177">
        <v>209090909.09090909</v>
      </c>
      <c r="E766" s="26"/>
      <c r="F766" s="184">
        <v>5.7666666666666561E-3</v>
      </c>
      <c r="G766" s="177">
        <v>2153636363.636364</v>
      </c>
      <c r="H766" s="177">
        <v>2088919000</v>
      </c>
      <c r="I766" s="175">
        <v>1.0309812700427179</v>
      </c>
      <c r="J766" s="177">
        <v>0</v>
      </c>
    </row>
    <row r="767" spans="1:10">
      <c r="A767" s="65">
        <v>2488</v>
      </c>
      <c r="B767" s="175">
        <v>0.55000000000000004</v>
      </c>
      <c r="C767" s="184">
        <v>0.81111111111111112</v>
      </c>
      <c r="D767" s="177">
        <v>80000000</v>
      </c>
      <c r="E767" s="26"/>
      <c r="F767" s="184">
        <v>3.8625E-2</v>
      </c>
      <c r="G767" s="177">
        <v>2444000000</v>
      </c>
      <c r="H767" s="177">
        <v>2368889000</v>
      </c>
      <c r="I767" s="175">
        <v>1.0317072686816477</v>
      </c>
      <c r="J767" s="177">
        <v>17.120174346201743</v>
      </c>
    </row>
    <row r="768" spans="1:10">
      <c r="A768" s="65">
        <v>6133</v>
      </c>
      <c r="B768" s="175">
        <v>7.0000000000000007E-2</v>
      </c>
      <c r="C768" s="184">
        <v>1</v>
      </c>
      <c r="D768" s="177">
        <v>114285714.28571427</v>
      </c>
      <c r="E768" s="26"/>
      <c r="F768" s="184">
        <v>2.6291666666666658E-2</v>
      </c>
      <c r="G768" s="177">
        <v>1268571428.5714283</v>
      </c>
      <c r="H768" s="177">
        <v>1229518000</v>
      </c>
      <c r="I768" s="175">
        <v>1.031763201979498</v>
      </c>
      <c r="J768" s="177">
        <v>39.642857142857139</v>
      </c>
    </row>
    <row r="769" spans="1:10">
      <c r="A769" s="65">
        <v>3680</v>
      </c>
      <c r="B769" s="175">
        <v>-0.24</v>
      </c>
      <c r="C769" s="184">
        <v>0.78947368421052633</v>
      </c>
      <c r="D769" s="177">
        <v>62500000</v>
      </c>
      <c r="E769" s="26"/>
      <c r="F769" s="184">
        <v>4.7966666666666664E-2</v>
      </c>
      <c r="G769" s="177">
        <v>1934375000</v>
      </c>
      <c r="H769" s="177">
        <v>1874194000</v>
      </c>
      <c r="I769" s="175">
        <v>1.0321103364966486</v>
      </c>
      <c r="J769" s="177">
        <v>0</v>
      </c>
    </row>
    <row r="770" spans="1:10">
      <c r="A770" s="65">
        <v>3564</v>
      </c>
      <c r="B770" s="175">
        <v>2.5</v>
      </c>
      <c r="C770" s="184">
        <v>1</v>
      </c>
      <c r="D770" s="177">
        <v>20400000</v>
      </c>
      <c r="E770" s="26"/>
      <c r="F770" s="184">
        <v>7.5575000000000003E-2</v>
      </c>
      <c r="G770" s="177">
        <v>1436160000</v>
      </c>
      <c r="H770" s="177">
        <v>1390433000</v>
      </c>
      <c r="I770" s="175">
        <v>1.032886877684865</v>
      </c>
      <c r="J770" s="177">
        <v>7.0400000000000009</v>
      </c>
    </row>
    <row r="771" spans="1:10">
      <c r="A771" s="65">
        <v>8928</v>
      </c>
      <c r="B771" s="175">
        <v>0.12</v>
      </c>
      <c r="C771" s="184">
        <v>1</v>
      </c>
      <c r="D771" s="177">
        <v>50000000</v>
      </c>
      <c r="E771" s="26"/>
      <c r="F771" s="184">
        <v>7.2458333333333347E-2</v>
      </c>
      <c r="G771" s="177">
        <v>2180000000</v>
      </c>
      <c r="H771" s="177">
        <v>2104249000</v>
      </c>
      <c r="I771" s="175">
        <v>1.0359990666503822</v>
      </c>
      <c r="J771" s="177">
        <v>50</v>
      </c>
    </row>
    <row r="772" spans="1:10">
      <c r="A772" s="65">
        <v>2035</v>
      </c>
      <c r="B772" s="175">
        <v>-0.53</v>
      </c>
      <c r="C772" s="184">
        <v>1</v>
      </c>
      <c r="D772" s="177">
        <v>347169811.32075471</v>
      </c>
      <c r="E772" s="26"/>
      <c r="F772" s="184">
        <v>2.9549999999999996E-2</v>
      </c>
      <c r="G772" s="177">
        <v>15969811320.754717</v>
      </c>
      <c r="H772" s="177">
        <v>15394379000</v>
      </c>
      <c r="I772" s="175">
        <v>1.037379378587127</v>
      </c>
      <c r="J772" s="177">
        <v>0</v>
      </c>
    </row>
    <row r="773" spans="1:10">
      <c r="A773" s="65">
        <v>3383</v>
      </c>
      <c r="B773" s="175">
        <v>-0.92</v>
      </c>
      <c r="C773" s="184">
        <v>0.84691848906560641</v>
      </c>
      <c r="D773" s="177">
        <v>332608695.65217388</v>
      </c>
      <c r="E773" s="26"/>
      <c r="F773" s="184">
        <v>-2.6058333333333336E-2</v>
      </c>
      <c r="G773" s="177">
        <v>3010108695.652174</v>
      </c>
      <c r="H773" s="177">
        <v>2899289000</v>
      </c>
      <c r="I773" s="175">
        <v>1.0382230593956567</v>
      </c>
      <c r="J773" s="177">
        <v>0</v>
      </c>
    </row>
    <row r="774" spans="1:10">
      <c r="A774" s="65">
        <v>5315</v>
      </c>
      <c r="B774" s="175">
        <v>0.56000000000000005</v>
      </c>
      <c r="C774" s="184">
        <v>1</v>
      </c>
      <c r="D774" s="177">
        <v>107142857.14285713</v>
      </c>
      <c r="E774" s="26"/>
      <c r="F774" s="184">
        <v>1.5566666666666668E-2</v>
      </c>
      <c r="G774" s="177">
        <v>2699999999.9999995</v>
      </c>
      <c r="H774" s="177">
        <v>2599300000</v>
      </c>
      <c r="I774" s="175">
        <v>1.0387411995537259</v>
      </c>
      <c r="J774" s="177">
        <v>11.249999999999998</v>
      </c>
    </row>
    <row r="775" spans="1:10">
      <c r="A775" s="65">
        <v>8131</v>
      </c>
      <c r="B775" s="175">
        <v>0.52</v>
      </c>
      <c r="C775" s="184">
        <v>1</v>
      </c>
      <c r="D775" s="177">
        <v>442307692.30769229</v>
      </c>
      <c r="E775" s="26"/>
      <c r="F775" s="184">
        <v>-1.0333333333333349E-3</v>
      </c>
      <c r="G775" s="177">
        <v>9244230769.2307682</v>
      </c>
      <c r="H775" s="177">
        <v>8897262000</v>
      </c>
      <c r="I775" s="175">
        <v>1.0389972521019126</v>
      </c>
      <c r="J775" s="177">
        <v>10.048076923076922</v>
      </c>
    </row>
    <row r="776" spans="1:10">
      <c r="A776" s="65">
        <v>2303</v>
      </c>
      <c r="B776" s="175">
        <v>0.37</v>
      </c>
      <c r="C776" s="184">
        <v>0.81829836829836833</v>
      </c>
      <c r="D776" s="177">
        <v>12432432432.432432</v>
      </c>
      <c r="E776" s="26"/>
      <c r="F776" s="184">
        <v>-1.0191666666666668E-2</v>
      </c>
      <c r="G776" s="177">
        <v>154162162162.16217</v>
      </c>
      <c r="H776" s="177">
        <v>148216329000</v>
      </c>
      <c r="I776" s="175">
        <v>1.040115911669639</v>
      </c>
      <c r="J776" s="177">
        <v>10.238781724325095</v>
      </c>
    </row>
    <row r="777" spans="1:10">
      <c r="A777" s="65">
        <v>6218</v>
      </c>
      <c r="B777" s="175">
        <v>0</v>
      </c>
      <c r="C777" s="184">
        <v>0</v>
      </c>
      <c r="D777" s="177">
        <v>64300000</v>
      </c>
      <c r="E777" s="26"/>
      <c r="F777" s="184">
        <v>2.9558333333333336E-2</v>
      </c>
      <c r="G777" s="177">
        <v>1064165000</v>
      </c>
      <c r="H777" s="177">
        <v>1023067000</v>
      </c>
      <c r="I777" s="175">
        <v>1.0401713670756656</v>
      </c>
      <c r="J777" s="177">
        <v>0</v>
      </c>
    </row>
    <row r="778" spans="1:10">
      <c r="A778" s="65">
        <v>1109</v>
      </c>
      <c r="B778" s="180">
        <v>-0.03</v>
      </c>
      <c r="C778" s="184">
        <v>0</v>
      </c>
      <c r="D778" s="181">
        <v>466666666.66666669</v>
      </c>
      <c r="E778" s="32"/>
      <c r="F778" s="184">
        <v>5.2083333333333336E-2</v>
      </c>
      <c r="G778" s="181">
        <v>4783333333.333334</v>
      </c>
      <c r="H778" s="181">
        <v>4575846000</v>
      </c>
      <c r="I778" s="180">
        <v>1.045344037656279</v>
      </c>
      <c r="J778" s="181">
        <v>0</v>
      </c>
    </row>
    <row r="779" spans="1:10">
      <c r="A779" s="65">
        <v>4542</v>
      </c>
      <c r="B779" s="175">
        <v>-0.14000000000000001</v>
      </c>
      <c r="C779" s="184">
        <v>1</v>
      </c>
      <c r="D779" s="177">
        <v>28571428.571428567</v>
      </c>
      <c r="E779" s="26"/>
      <c r="F779" s="184">
        <v>0.13284166666666666</v>
      </c>
      <c r="G779" s="177">
        <v>625714285.71428561</v>
      </c>
      <c r="H779" s="177">
        <v>598084000</v>
      </c>
      <c r="I779" s="175">
        <v>1.046198001809588</v>
      </c>
      <c r="J779" s="177">
        <v>0</v>
      </c>
    </row>
    <row r="780" spans="1:10">
      <c r="A780" s="65">
        <v>5349</v>
      </c>
      <c r="B780" s="175">
        <v>0.59</v>
      </c>
      <c r="C780" s="184">
        <v>1</v>
      </c>
      <c r="D780" s="177">
        <v>213559322.03389832</v>
      </c>
      <c r="E780" s="26"/>
      <c r="F780" s="184">
        <v>-6.1416666666666642E-3</v>
      </c>
      <c r="G780" s="177">
        <v>8499661016.9491529</v>
      </c>
      <c r="H780" s="177">
        <v>8105112000</v>
      </c>
      <c r="I780" s="175">
        <v>1.0486790333001139</v>
      </c>
      <c r="J780" s="177">
        <v>16.864406779661017</v>
      </c>
    </row>
    <row r="781" spans="1:10">
      <c r="A781" s="65">
        <v>2354</v>
      </c>
      <c r="B781" s="175">
        <v>2.08</v>
      </c>
      <c r="C781" s="184">
        <v>0.87768679631525082</v>
      </c>
      <c r="D781" s="177">
        <v>1390384615.3846154</v>
      </c>
      <c r="E781" s="26"/>
      <c r="F781" s="184">
        <v>4.5908333333333329E-2</v>
      </c>
      <c r="G781" s="177">
        <v>119573076923.07692</v>
      </c>
      <c r="H781" s="177">
        <v>113958106000</v>
      </c>
      <c r="I781" s="175">
        <v>1.049272238019443</v>
      </c>
      <c r="J781" s="177">
        <v>11.777023996411749</v>
      </c>
    </row>
    <row r="782" spans="1:10">
      <c r="A782" s="65">
        <v>4417</v>
      </c>
      <c r="B782" s="175">
        <v>0.81</v>
      </c>
      <c r="C782" s="184">
        <v>0.87116564417177911</v>
      </c>
      <c r="D782" s="177">
        <v>80246913.58024691</v>
      </c>
      <c r="E782" s="26"/>
      <c r="F782" s="184">
        <v>2.3749999999999982E-3</v>
      </c>
      <c r="G782" s="177">
        <v>3290123456.7901235</v>
      </c>
      <c r="H782" s="177">
        <v>3126878000</v>
      </c>
      <c r="I782" s="175">
        <v>1.0522071717509041</v>
      </c>
      <c r="J782" s="177">
        <v>14.525734654842637</v>
      </c>
    </row>
    <row r="783" spans="1:10">
      <c r="A783" s="65">
        <v>6208</v>
      </c>
      <c r="B783" s="175">
        <v>0.12</v>
      </c>
      <c r="C783" s="184">
        <v>0.80769230769230771</v>
      </c>
      <c r="D783" s="177">
        <v>116666666.66666667</v>
      </c>
      <c r="E783" s="26"/>
      <c r="F783" s="184">
        <v>-5.758333333333328E-3</v>
      </c>
      <c r="G783" s="177">
        <v>1365000000</v>
      </c>
      <c r="H783" s="177">
        <v>1297261000</v>
      </c>
      <c r="I783" s="175">
        <v>1.052216940153138</v>
      </c>
      <c r="J783" s="177">
        <v>30.178571428571427</v>
      </c>
    </row>
    <row r="784" spans="1:10">
      <c r="A784" s="65">
        <v>1503</v>
      </c>
      <c r="B784" s="175">
        <v>0.48</v>
      </c>
      <c r="C784" s="184">
        <v>0.7813504823151125</v>
      </c>
      <c r="D784" s="177">
        <v>525000000</v>
      </c>
      <c r="E784" s="26"/>
      <c r="F784" s="184">
        <v>1.3691666666666666E-2</v>
      </c>
      <c r="G784" s="177">
        <v>21105000000</v>
      </c>
      <c r="H784" s="177">
        <v>20044104000</v>
      </c>
      <c r="I784" s="175">
        <v>1.0529280829913874</v>
      </c>
      <c r="J784" s="177">
        <v>26.796553497942391</v>
      </c>
    </row>
    <row r="785" spans="1:10">
      <c r="A785" s="65">
        <v>3501</v>
      </c>
      <c r="B785" s="175">
        <v>1.45</v>
      </c>
      <c r="C785" s="184">
        <v>0.66666666666666663</v>
      </c>
      <c r="D785" s="177">
        <v>115862068.96551724</v>
      </c>
      <c r="E785" s="26"/>
      <c r="F785" s="184">
        <v>8.8333333333333267E-3</v>
      </c>
      <c r="G785" s="177">
        <v>5932137931.034483</v>
      </c>
      <c r="H785" s="177">
        <v>5632560000</v>
      </c>
      <c r="I785" s="175">
        <v>1.0531868157701796</v>
      </c>
      <c r="J785" s="177">
        <v>13.241379310344829</v>
      </c>
    </row>
    <row r="786" spans="1:10">
      <c r="A786" s="65">
        <v>2383</v>
      </c>
      <c r="B786" s="175">
        <v>1.51</v>
      </c>
      <c r="C786" s="184">
        <v>1</v>
      </c>
      <c r="D786" s="177">
        <v>317218543.04635763</v>
      </c>
      <c r="E786" s="26"/>
      <c r="F786" s="184">
        <v>7.6250000000000024E-3</v>
      </c>
      <c r="G786" s="177">
        <v>22268741721.854305</v>
      </c>
      <c r="H786" s="177">
        <v>21141654000</v>
      </c>
      <c r="I786" s="175">
        <v>1.0533112367582169</v>
      </c>
      <c r="J786" s="177">
        <v>11.622516556291391</v>
      </c>
    </row>
    <row r="787" spans="1:10">
      <c r="A787" s="65">
        <v>2417</v>
      </c>
      <c r="B787" s="175">
        <v>-0.35</v>
      </c>
      <c r="C787" s="184">
        <v>1</v>
      </c>
      <c r="D787" s="177">
        <v>200000000</v>
      </c>
      <c r="E787" s="26"/>
      <c r="F787" s="184">
        <v>0.18697499999999997</v>
      </c>
      <c r="G787" s="177">
        <v>2139999999.9999998</v>
      </c>
      <c r="H787" s="177">
        <v>2030863000</v>
      </c>
      <c r="I787" s="175">
        <v>1.0537392231775358</v>
      </c>
      <c r="J787" s="177">
        <v>0</v>
      </c>
    </row>
    <row r="788" spans="1:10">
      <c r="A788" s="65">
        <v>3023</v>
      </c>
      <c r="B788" s="175">
        <v>1.21</v>
      </c>
      <c r="C788" s="184">
        <v>0.80284552845528456</v>
      </c>
      <c r="D788" s="177">
        <v>209090909.09090909</v>
      </c>
      <c r="E788" s="26"/>
      <c r="F788" s="184">
        <v>6.2500000000000021E-3</v>
      </c>
      <c r="G788" s="177">
        <v>13005454545.454546</v>
      </c>
      <c r="H788" s="177">
        <v>12305545000</v>
      </c>
      <c r="I788" s="175">
        <v>1.0568775739274081</v>
      </c>
      <c r="J788" s="177">
        <v>16.007113714823728</v>
      </c>
    </row>
    <row r="789" spans="1:10">
      <c r="A789" s="65">
        <v>1787</v>
      </c>
      <c r="B789" s="175">
        <v>0.44</v>
      </c>
      <c r="C789" s="184">
        <v>1</v>
      </c>
      <c r="D789" s="177">
        <v>68181818.181818187</v>
      </c>
      <c r="E789" s="26"/>
      <c r="F789" s="184">
        <v>2.4191666666666677E-2</v>
      </c>
      <c r="G789" s="177">
        <v>1513636363.6363637</v>
      </c>
      <c r="H789" s="177">
        <v>1430165000</v>
      </c>
      <c r="I789" s="175">
        <v>1.0583648485568895</v>
      </c>
      <c r="J789" s="177">
        <v>12.613636363636363</v>
      </c>
    </row>
    <row r="790" spans="1:10">
      <c r="A790" s="65">
        <v>4535</v>
      </c>
      <c r="B790" s="175">
        <v>0.77</v>
      </c>
      <c r="C790" s="184">
        <v>1</v>
      </c>
      <c r="D790" s="177">
        <v>75324675.324675322</v>
      </c>
      <c r="E790" s="26"/>
      <c r="F790" s="184">
        <v>6.3999999999999994E-3</v>
      </c>
      <c r="G790" s="177">
        <v>3566623376.6233764</v>
      </c>
      <c r="H790" s="177">
        <v>3367375000</v>
      </c>
      <c r="I790" s="175">
        <v>1.0591702369422402</v>
      </c>
      <c r="J790" s="177">
        <v>15.373376623376624</v>
      </c>
    </row>
    <row r="791" spans="1:10">
      <c r="A791" s="65">
        <v>2493</v>
      </c>
      <c r="B791" s="175">
        <v>0.35</v>
      </c>
      <c r="C791" s="184">
        <v>1</v>
      </c>
      <c r="D791" s="177">
        <v>114285714.2857143</v>
      </c>
      <c r="E791" s="26"/>
      <c r="F791" s="184">
        <v>-5.7333333333333342E-3</v>
      </c>
      <c r="G791" s="177">
        <v>2422857142.8571429</v>
      </c>
      <c r="H791" s="177">
        <v>2282094000</v>
      </c>
      <c r="I791" s="175">
        <v>1.0616815708981062</v>
      </c>
      <c r="J791" s="177">
        <v>15.142857142857144</v>
      </c>
    </row>
    <row r="792" spans="1:10">
      <c r="A792" s="65">
        <v>6129</v>
      </c>
      <c r="B792" s="175">
        <v>-0.43</v>
      </c>
      <c r="C792" s="184">
        <v>0.59055118110236215</v>
      </c>
      <c r="D792" s="177">
        <v>181395348.83720931</v>
      </c>
      <c r="E792" s="26"/>
      <c r="F792" s="184">
        <v>-2.0416666666666639E-3</v>
      </c>
      <c r="G792" s="177">
        <v>1380418604.6511629</v>
      </c>
      <c r="H792" s="177">
        <v>1296347000</v>
      </c>
      <c r="I792" s="175">
        <v>1.06485270120667</v>
      </c>
      <c r="J792" s="177">
        <v>0</v>
      </c>
    </row>
    <row r="793" spans="1:10">
      <c r="A793" s="65">
        <v>2439</v>
      </c>
      <c r="B793" s="175">
        <v>0.15</v>
      </c>
      <c r="C793" s="184">
        <v>1</v>
      </c>
      <c r="D793" s="177">
        <v>186666666.66666669</v>
      </c>
      <c r="E793" s="26"/>
      <c r="F793" s="184">
        <v>3.7941666666666672E-2</v>
      </c>
      <c r="G793" s="177">
        <v>12973333333.333334</v>
      </c>
      <c r="H793" s="177">
        <v>12182805000</v>
      </c>
      <c r="I793" s="175">
        <v>1.0648888604334825</v>
      </c>
      <c r="J793" s="177">
        <v>50</v>
      </c>
    </row>
    <row r="794" spans="1:10">
      <c r="A794" s="65">
        <v>5905</v>
      </c>
      <c r="B794" s="175">
        <v>7.0000000000000007E-2</v>
      </c>
      <c r="C794" s="184">
        <v>1</v>
      </c>
      <c r="D794" s="177">
        <v>185714285.7142857</v>
      </c>
      <c r="E794" s="26"/>
      <c r="F794" s="184">
        <v>3.0583333333333337E-2</v>
      </c>
      <c r="G794" s="177">
        <v>1701142857.1428571</v>
      </c>
      <c r="H794" s="177">
        <v>1592234000</v>
      </c>
      <c r="I794" s="175">
        <v>1.0684000323714085</v>
      </c>
      <c r="J794" s="177">
        <v>32.714285714285708</v>
      </c>
    </row>
    <row r="795" spans="1:10">
      <c r="A795" s="65">
        <v>3287</v>
      </c>
      <c r="B795" s="175">
        <v>-0.08</v>
      </c>
      <c r="C795" s="184">
        <v>0.84210526315789469</v>
      </c>
      <c r="D795" s="177">
        <v>50000000</v>
      </c>
      <c r="E795" s="26"/>
      <c r="F795" s="184">
        <v>-1.1216666666666665E-2</v>
      </c>
      <c r="G795" s="177">
        <v>463999999.99999994</v>
      </c>
      <c r="H795" s="177">
        <v>429984000</v>
      </c>
      <c r="I795" s="175">
        <v>1.0791099203691299</v>
      </c>
      <c r="J795" s="177">
        <v>0</v>
      </c>
    </row>
    <row r="796" spans="1:10">
      <c r="A796" s="65">
        <v>3013</v>
      </c>
      <c r="B796" s="175">
        <v>7.0000000000000007E-2</v>
      </c>
      <c r="C796" s="184">
        <v>1</v>
      </c>
      <c r="D796" s="177">
        <v>185714285.7142857</v>
      </c>
      <c r="E796" s="26"/>
      <c r="F796" s="184">
        <v>3.4708333333333334E-2</v>
      </c>
      <c r="G796" s="177">
        <v>3482142857.1428571</v>
      </c>
      <c r="H796" s="177">
        <v>3219147000</v>
      </c>
      <c r="I796" s="175">
        <v>1.0816973742245561</v>
      </c>
      <c r="J796" s="177">
        <v>50</v>
      </c>
    </row>
    <row r="797" spans="1:10">
      <c r="A797" s="65">
        <v>3285</v>
      </c>
      <c r="B797" s="175">
        <v>0.13</v>
      </c>
      <c r="C797" s="184">
        <v>1</v>
      </c>
      <c r="D797" s="177">
        <v>46153846.153846152</v>
      </c>
      <c r="E797" s="26"/>
      <c r="F797" s="184">
        <v>2.7158333333333329E-2</v>
      </c>
      <c r="G797" s="177">
        <v>1553076923.0769229</v>
      </c>
      <c r="H797" s="177">
        <v>1435674000</v>
      </c>
      <c r="I797" s="175">
        <v>1.0817754748479969</v>
      </c>
      <c r="J797" s="177">
        <v>50</v>
      </c>
    </row>
    <row r="798" spans="1:10">
      <c r="A798" s="65">
        <v>6411</v>
      </c>
      <c r="B798" s="175">
        <v>0.24</v>
      </c>
      <c r="C798" s="184">
        <v>1</v>
      </c>
      <c r="D798" s="177">
        <v>62500000</v>
      </c>
      <c r="E798" s="26"/>
      <c r="F798" s="184">
        <v>1.7174999999999999E-2</v>
      </c>
      <c r="G798" s="177">
        <v>2025000000</v>
      </c>
      <c r="H798" s="177">
        <v>1870357000</v>
      </c>
      <c r="I798" s="175">
        <v>1.0826810068879897</v>
      </c>
      <c r="J798" s="177">
        <v>33.75</v>
      </c>
    </row>
    <row r="799" spans="1:10">
      <c r="A799" s="65">
        <v>8277</v>
      </c>
      <c r="B799" s="175">
        <v>-0.39</v>
      </c>
      <c r="C799" s="184">
        <v>0.90434782608695652</v>
      </c>
      <c r="D799" s="177">
        <v>92307692.307692304</v>
      </c>
      <c r="E799" s="26"/>
      <c r="F799" s="184">
        <v>2.2891666666666675E-2</v>
      </c>
      <c r="G799" s="177">
        <v>717230769.23076916</v>
      </c>
      <c r="H799" s="177">
        <v>659977000</v>
      </c>
      <c r="I799" s="175">
        <v>1.0867511583445622</v>
      </c>
      <c r="J799" s="177">
        <v>0</v>
      </c>
    </row>
    <row r="800" spans="1:10">
      <c r="A800" s="65">
        <v>2482</v>
      </c>
      <c r="B800" s="175">
        <v>0.16</v>
      </c>
      <c r="C800" s="184">
        <v>1</v>
      </c>
      <c r="D800" s="177">
        <v>62500000</v>
      </c>
      <c r="E800" s="26"/>
      <c r="F800" s="184">
        <v>0.140875</v>
      </c>
      <c r="G800" s="177">
        <v>953125000</v>
      </c>
      <c r="H800" s="177">
        <v>876582000</v>
      </c>
      <c r="I800" s="175">
        <v>1.0873198400149673</v>
      </c>
      <c r="J800" s="177">
        <v>23.828125</v>
      </c>
    </row>
    <row r="801" spans="1:11">
      <c r="A801" s="65">
        <v>6219</v>
      </c>
      <c r="B801" s="175">
        <v>-0.54</v>
      </c>
      <c r="C801" s="184">
        <v>0.64516129032258063</v>
      </c>
      <c r="D801" s="177">
        <v>175925925.92592591</v>
      </c>
      <c r="E801" s="26"/>
      <c r="F801" s="184">
        <v>5.6855333333333329</v>
      </c>
      <c r="G801" s="177">
        <v>2163888888.8888888</v>
      </c>
      <c r="H801" s="177">
        <v>1978228000</v>
      </c>
      <c r="I801" s="175">
        <v>1.0938521186076069</v>
      </c>
      <c r="J801" s="177">
        <v>0</v>
      </c>
    </row>
    <row r="802" spans="1:11">
      <c r="A802" s="65">
        <v>2221</v>
      </c>
      <c r="B802" s="175">
        <v>0.38</v>
      </c>
      <c r="C802" s="184">
        <v>1</v>
      </c>
      <c r="D802" s="177">
        <v>42105263.157894738</v>
      </c>
      <c r="E802" s="26"/>
      <c r="F802" s="184">
        <v>8.4133333333333324E-2</v>
      </c>
      <c r="G802" s="177">
        <v>850526315.78947365</v>
      </c>
      <c r="H802" s="177">
        <v>775632000</v>
      </c>
      <c r="I802" s="175">
        <v>1.0965590844491635</v>
      </c>
      <c r="J802" s="177">
        <v>13.289473684210526</v>
      </c>
    </row>
    <row r="803" spans="1:11">
      <c r="A803" s="65">
        <v>2912</v>
      </c>
      <c r="B803" s="175">
        <v>2.09</v>
      </c>
      <c r="C803" s="184">
        <v>0.72032710280373835</v>
      </c>
      <c r="D803" s="177">
        <v>1038755980.8612441</v>
      </c>
      <c r="E803" s="26"/>
      <c r="F803" s="184">
        <v>3.3749999999999982E-3</v>
      </c>
      <c r="G803" s="177">
        <v>225410047846.88995</v>
      </c>
      <c r="H803" s="177">
        <v>204978983000</v>
      </c>
      <c r="I803" s="175">
        <v>1.0996739497282506</v>
      </c>
      <c r="J803" s="177">
        <v>36.034931488778561</v>
      </c>
    </row>
    <row r="804" spans="1:11">
      <c r="A804" s="65">
        <v>3213</v>
      </c>
      <c r="B804" s="175">
        <v>0.5</v>
      </c>
      <c r="C804" s="184">
        <v>0.9363636363636364</v>
      </c>
      <c r="D804" s="177">
        <v>58000000</v>
      </c>
      <c r="E804" s="26"/>
      <c r="F804" s="184">
        <v>2.360000000000001E-2</v>
      </c>
      <c r="G804" s="177">
        <v>2343200000</v>
      </c>
      <c r="H804" s="177">
        <v>2126712000</v>
      </c>
      <c r="I804" s="175">
        <v>1.1017946952854925</v>
      </c>
      <c r="J804" s="177">
        <v>21.572815533980581</v>
      </c>
    </row>
    <row r="805" spans="1:11">
      <c r="A805" s="65">
        <v>1736</v>
      </c>
      <c r="B805" s="175">
        <v>-0.53</v>
      </c>
      <c r="C805" s="184">
        <v>0.70909090909090911</v>
      </c>
      <c r="D805" s="177">
        <v>305660377.35849053</v>
      </c>
      <c r="E805" s="26"/>
      <c r="F805" s="184">
        <v>3.6791666666666667E-2</v>
      </c>
      <c r="G805" s="177">
        <v>18278490566.037731</v>
      </c>
      <c r="H805" s="177">
        <v>16580800000</v>
      </c>
      <c r="I805" s="175">
        <v>1.1023889417903678</v>
      </c>
      <c r="J805" s="177">
        <v>0</v>
      </c>
    </row>
    <row r="806" spans="1:11">
      <c r="A806" s="65">
        <v>6197</v>
      </c>
      <c r="B806" s="175">
        <v>0.19</v>
      </c>
      <c r="C806" s="184">
        <v>1</v>
      </c>
      <c r="D806" s="177">
        <v>173684210.52631578</v>
      </c>
      <c r="E806" s="26"/>
      <c r="F806" s="184">
        <v>1.0616666666666668E-2</v>
      </c>
      <c r="G806" s="177">
        <v>5870526315.7894726</v>
      </c>
      <c r="H806" s="177">
        <v>5325030000</v>
      </c>
      <c r="I806" s="175">
        <v>1.1024400455564518</v>
      </c>
      <c r="J806" s="177">
        <v>44.473684210526315</v>
      </c>
    </row>
    <row r="807" spans="1:11">
      <c r="A807" s="65">
        <v>6143</v>
      </c>
      <c r="B807" s="175">
        <v>-0.36</v>
      </c>
      <c r="C807" s="184">
        <v>1</v>
      </c>
      <c r="D807" s="177">
        <v>83333333.333333343</v>
      </c>
      <c r="E807" s="26"/>
      <c r="F807" s="184">
        <v>8.3100000000000007E-2</v>
      </c>
      <c r="G807" s="177">
        <v>5791666666.666667</v>
      </c>
      <c r="H807" s="177">
        <v>5246940000</v>
      </c>
      <c r="I807" s="175">
        <v>1.1038179713636267</v>
      </c>
      <c r="J807" s="177">
        <v>0</v>
      </c>
    </row>
    <row r="808" spans="1:11">
      <c r="A808" s="65">
        <v>3167</v>
      </c>
      <c r="B808" s="175">
        <v>1.07</v>
      </c>
      <c r="C808" s="184">
        <v>0.91489361702127658</v>
      </c>
      <c r="D808" s="177">
        <v>79439252.336448595</v>
      </c>
      <c r="E808" s="26"/>
      <c r="F808" s="184">
        <v>-3.1849999999999996E-2</v>
      </c>
      <c r="G808" s="177">
        <v>2248130841.1214952</v>
      </c>
      <c r="H808" s="177">
        <v>2036357000</v>
      </c>
      <c r="I808" s="175">
        <v>1.1039964216105012</v>
      </c>
      <c r="J808" s="177">
        <v>7.2272332101717014</v>
      </c>
    </row>
    <row r="809" spans="1:11">
      <c r="A809" s="65">
        <v>6103</v>
      </c>
      <c r="B809" s="175">
        <v>-7.0000000000000007E-2</v>
      </c>
      <c r="C809" s="184">
        <v>1</v>
      </c>
      <c r="D809" s="177">
        <v>57142857.142857134</v>
      </c>
      <c r="E809" s="26"/>
      <c r="F809" s="184">
        <v>0.46415000000000001</v>
      </c>
      <c r="G809" s="177">
        <v>399999999.99999994</v>
      </c>
      <c r="H809" s="177">
        <v>361153000</v>
      </c>
      <c r="I809" s="175">
        <v>1.1075638302879942</v>
      </c>
      <c r="J809" s="177">
        <v>0</v>
      </c>
    </row>
    <row r="810" spans="1:11">
      <c r="A810" s="65">
        <v>4912</v>
      </c>
      <c r="B810" s="175">
        <v>0.23</v>
      </c>
      <c r="C810" s="184">
        <v>1</v>
      </c>
      <c r="D810" s="177">
        <v>39130434.782608695</v>
      </c>
      <c r="E810" s="26"/>
      <c r="F810" s="184">
        <v>1.6033333333333327E-2</v>
      </c>
      <c r="G810" s="177">
        <v>3294782608.6956525</v>
      </c>
      <c r="H810" s="177">
        <v>2972623000</v>
      </c>
      <c r="I810" s="175">
        <v>1.108375535241318</v>
      </c>
      <c r="J810" s="177">
        <v>50</v>
      </c>
    </row>
    <row r="811" spans="1:11">
      <c r="A811" s="65">
        <v>9905</v>
      </c>
      <c r="B811" s="175">
        <v>0.85</v>
      </c>
      <c r="C811" s="184">
        <v>0.80874316939890711</v>
      </c>
      <c r="D811" s="177">
        <v>305882352.94117647</v>
      </c>
      <c r="E811" s="26"/>
      <c r="F811" s="184">
        <v>8.8666666666666685E-3</v>
      </c>
      <c r="G811" s="177">
        <v>9054117647.0588245</v>
      </c>
      <c r="H811" s="177">
        <v>8140822000</v>
      </c>
      <c r="I811" s="175">
        <v>1.1121871534666676</v>
      </c>
      <c r="J811" s="177">
        <v>10.764705882352942</v>
      </c>
    </row>
    <row r="812" spans="1:11">
      <c r="A812" s="65">
        <v>1504</v>
      </c>
      <c r="B812" s="175">
        <v>0.46</v>
      </c>
      <c r="C812" s="184">
        <v>0.69636363636363641</v>
      </c>
      <c r="D812" s="177">
        <v>1984782608.695652</v>
      </c>
      <c r="E812" s="26"/>
      <c r="F812" s="184">
        <v>-1.7666666666666664E-3</v>
      </c>
      <c r="G812" s="177">
        <v>54581521739.130432</v>
      </c>
      <c r="H812" s="177">
        <v>49052959000</v>
      </c>
      <c r="I812" s="175">
        <v>1.1127059988191625</v>
      </c>
      <c r="J812" s="177">
        <v>21.462424792825519</v>
      </c>
    </row>
    <row r="813" spans="1:11">
      <c r="A813" s="65">
        <v>3027</v>
      </c>
      <c r="B813" s="175">
        <v>0.16</v>
      </c>
      <c r="C813" s="184">
        <v>0</v>
      </c>
      <c r="D813" s="177">
        <v>100000000</v>
      </c>
      <c r="E813" s="26"/>
      <c r="F813" s="184">
        <v>7.1749999999999994E-2</v>
      </c>
      <c r="G813" s="177">
        <v>1405000000</v>
      </c>
      <c r="H813" s="177">
        <v>1259338000</v>
      </c>
      <c r="I813" s="175">
        <v>1.1156655322081919</v>
      </c>
      <c r="J813" s="177">
        <v>0</v>
      </c>
      <c r="K813" s="32"/>
    </row>
    <row r="814" spans="1:11">
      <c r="A814" s="65">
        <v>2428</v>
      </c>
      <c r="B814" s="175">
        <v>1.05</v>
      </c>
      <c r="C814" s="184">
        <v>0.93772893772893773</v>
      </c>
      <c r="D814" s="177">
        <v>127619047.61904761</v>
      </c>
      <c r="E814" s="26"/>
      <c r="F814" s="184">
        <v>2.4733333333333329E-2</v>
      </c>
      <c r="G814" s="177">
        <v>5647142857.1428566</v>
      </c>
      <c r="H814" s="177">
        <v>5039965000</v>
      </c>
      <c r="I814" s="175">
        <v>1.1204726336676656</v>
      </c>
      <c r="J814" s="177">
        <v>11.2353515625</v>
      </c>
    </row>
    <row r="815" spans="1:11">
      <c r="A815" s="65">
        <v>1213</v>
      </c>
      <c r="B815" s="180">
        <v>0.35</v>
      </c>
      <c r="C815" s="184">
        <v>0</v>
      </c>
      <c r="D815" s="181">
        <v>51500000</v>
      </c>
      <c r="E815" s="179"/>
      <c r="F815" s="184">
        <v>5.7408333333333339E-2</v>
      </c>
      <c r="G815" s="181">
        <v>826575000</v>
      </c>
      <c r="H815" s="181">
        <v>736331000</v>
      </c>
      <c r="I815" s="180">
        <v>1.1225590121833795</v>
      </c>
      <c r="J815" s="181">
        <v>0</v>
      </c>
      <c r="K815" s="32"/>
    </row>
    <row r="816" spans="1:11">
      <c r="A816" s="65">
        <v>3545</v>
      </c>
      <c r="B816" s="175">
        <v>0.15</v>
      </c>
      <c r="C816" s="184">
        <v>0</v>
      </c>
      <c r="D816" s="177">
        <v>420000000</v>
      </c>
      <c r="E816" s="26"/>
      <c r="F816" s="184">
        <v>0.11403333333333336</v>
      </c>
      <c r="G816" s="177">
        <v>11823000000</v>
      </c>
      <c r="H816" s="177">
        <v>10504508000</v>
      </c>
      <c r="I816" s="175">
        <v>1.1255167781299229</v>
      </c>
      <c r="J816" s="177">
        <v>0</v>
      </c>
    </row>
    <row r="817" spans="1:11">
      <c r="A817" s="65">
        <v>3362</v>
      </c>
      <c r="B817" s="175">
        <v>-0.3</v>
      </c>
      <c r="C817" s="184">
        <v>0.74193548387096775</v>
      </c>
      <c r="D817" s="177">
        <v>93333333.333333343</v>
      </c>
      <c r="E817" s="26"/>
      <c r="F817" s="184">
        <v>-7.7916666666666664E-3</v>
      </c>
      <c r="G817" s="177">
        <v>1446666666.6666667</v>
      </c>
      <c r="H817" s="177">
        <v>1282166000</v>
      </c>
      <c r="I817" s="175">
        <v>1.1282990398019186</v>
      </c>
      <c r="J817" s="177">
        <v>0</v>
      </c>
    </row>
    <row r="818" spans="1:11">
      <c r="A818" s="65">
        <v>9946</v>
      </c>
      <c r="B818" s="175">
        <v>0.17</v>
      </c>
      <c r="C818" s="184">
        <v>0.98360655737704916</v>
      </c>
      <c r="D818" s="177">
        <v>229411764.70588234</v>
      </c>
      <c r="E818" s="26"/>
      <c r="F818" s="184">
        <v>2.6122999999999998</v>
      </c>
      <c r="G818" s="177">
        <v>3796764705.8823528</v>
      </c>
      <c r="H818" s="177">
        <v>3364651000</v>
      </c>
      <c r="I818" s="175">
        <v>1.1284274969030526</v>
      </c>
      <c r="J818" s="177">
        <v>24.74387254901961</v>
      </c>
    </row>
    <row r="819" spans="1:11">
      <c r="A819" s="65">
        <v>3489</v>
      </c>
      <c r="B819" s="175">
        <v>-0.08</v>
      </c>
      <c r="C819" s="184">
        <v>0.4</v>
      </c>
      <c r="D819" s="177">
        <v>87500000</v>
      </c>
      <c r="E819" s="26"/>
      <c r="F819" s="184">
        <v>0.49763333333333337</v>
      </c>
      <c r="G819" s="177">
        <v>931875000</v>
      </c>
      <c r="H819" s="177">
        <v>825240000</v>
      </c>
      <c r="I819" s="175">
        <v>1.1292169550676168</v>
      </c>
      <c r="J819" s="177">
        <v>0</v>
      </c>
      <c r="K819" s="32"/>
    </row>
    <row r="820" spans="1:11">
      <c r="A820" s="65">
        <v>3191</v>
      </c>
      <c r="B820" s="175">
        <v>-0.51</v>
      </c>
      <c r="C820" s="184">
        <v>1</v>
      </c>
      <c r="D820" s="177">
        <v>54901960.784313723</v>
      </c>
      <c r="E820" s="26"/>
      <c r="F820" s="184">
        <v>0.26720833333333338</v>
      </c>
      <c r="G820" s="177">
        <v>947058823.52941167</v>
      </c>
      <c r="H820" s="177">
        <v>838553000</v>
      </c>
      <c r="I820" s="175">
        <v>1.1293965003159152</v>
      </c>
      <c r="J820" s="177">
        <v>0</v>
      </c>
    </row>
    <row r="821" spans="1:11">
      <c r="A821" s="65">
        <v>2484</v>
      </c>
      <c r="B821" s="175">
        <v>0.36</v>
      </c>
      <c r="C821" s="184">
        <v>0.92660550458715596</v>
      </c>
      <c r="D821" s="177">
        <v>161111111.1111111</v>
      </c>
      <c r="E821" s="26"/>
      <c r="F821" s="184">
        <v>1.7091666666666668E-2</v>
      </c>
      <c r="G821" s="177">
        <v>3230277777.7777777</v>
      </c>
      <c r="H821" s="177">
        <v>2855652000</v>
      </c>
      <c r="I821" s="175">
        <v>1.1311874758471192</v>
      </c>
      <c r="J821" s="177">
        <v>15.026471397139714</v>
      </c>
    </row>
    <row r="822" spans="1:11">
      <c r="A822" s="65">
        <v>1702</v>
      </c>
      <c r="B822" s="175">
        <v>1.24</v>
      </c>
      <c r="C822" s="184">
        <v>1</v>
      </c>
      <c r="D822" s="177">
        <v>247580645.16129032</v>
      </c>
      <c r="E822" s="26"/>
      <c r="F822" s="184">
        <v>1.0541666666666666E-2</v>
      </c>
      <c r="G822" s="177">
        <v>17281129032.258064</v>
      </c>
      <c r="H822" s="177">
        <v>15255406000</v>
      </c>
      <c r="I822" s="175">
        <v>1.1327872252143316</v>
      </c>
      <c r="J822" s="177">
        <v>14.07258064516129</v>
      </c>
    </row>
    <row r="823" spans="1:11">
      <c r="A823" s="65">
        <v>1464</v>
      </c>
      <c r="B823" s="175">
        <v>0.32</v>
      </c>
      <c r="C823" s="184">
        <v>0.65384615384615385</v>
      </c>
      <c r="D823" s="177">
        <v>218750000</v>
      </c>
      <c r="E823" s="26"/>
      <c r="F823" s="184">
        <v>4.0291666666666663E-2</v>
      </c>
      <c r="G823" s="177">
        <v>7656250000</v>
      </c>
      <c r="H823" s="177">
        <v>6756634000</v>
      </c>
      <c r="I823" s="175">
        <v>1.1331455869890243</v>
      </c>
      <c r="J823" s="177">
        <v>41.819852941176464</v>
      </c>
    </row>
    <row r="824" spans="1:11">
      <c r="A824" s="65">
        <v>1711</v>
      </c>
      <c r="B824" s="175">
        <v>0.22</v>
      </c>
      <c r="C824" s="184">
        <v>1</v>
      </c>
      <c r="D824" s="177">
        <v>518181818.18181819</v>
      </c>
      <c r="E824" s="26"/>
      <c r="F824" s="184">
        <v>1.6233333333333339E-2</v>
      </c>
      <c r="G824" s="177">
        <v>10778181818.181818</v>
      </c>
      <c r="H824" s="177">
        <v>9484474000</v>
      </c>
      <c r="I824" s="175">
        <v>1.1364026954137698</v>
      </c>
      <c r="J824" s="177">
        <v>23.636363636363637</v>
      </c>
    </row>
    <row r="825" spans="1:11">
      <c r="A825" s="65">
        <v>5317</v>
      </c>
      <c r="B825" s="175">
        <v>0.1</v>
      </c>
      <c r="C825" s="184">
        <v>0.77777777777777779</v>
      </c>
      <c r="D825" s="177">
        <v>130000000</v>
      </c>
      <c r="E825" s="26"/>
      <c r="F825" s="184">
        <v>7.2416666666666645E-3</v>
      </c>
      <c r="G825" s="177">
        <v>1878500000</v>
      </c>
      <c r="H825" s="177">
        <v>1651106000</v>
      </c>
      <c r="I825" s="175">
        <v>1.1377222298265526</v>
      </c>
      <c r="J825" s="177">
        <v>46.446428571428569</v>
      </c>
    </row>
    <row r="826" spans="1:11">
      <c r="A826" s="65">
        <v>5522</v>
      </c>
      <c r="B826" s="175">
        <v>2.46</v>
      </c>
      <c r="C826" s="184">
        <v>0.88733599543639474</v>
      </c>
      <c r="D826" s="177">
        <v>833739837.39837396</v>
      </c>
      <c r="E826" s="26"/>
      <c r="F826" s="184">
        <v>1.475525</v>
      </c>
      <c r="G826" s="177">
        <v>30973434959.34959</v>
      </c>
      <c r="H826" s="177">
        <v>27202193000</v>
      </c>
      <c r="I826" s="175">
        <v>1.1386374238043819</v>
      </c>
      <c r="J826" s="177">
        <v>4.2547654140957993</v>
      </c>
    </row>
    <row r="827" spans="1:11">
      <c r="A827" s="65">
        <v>1521</v>
      </c>
      <c r="B827" s="175">
        <v>1.22</v>
      </c>
      <c r="C827" s="184">
        <v>0.87072243346007605</v>
      </c>
      <c r="D827" s="177">
        <v>76229508.196721315</v>
      </c>
      <c r="E827" s="26"/>
      <c r="F827" s="184">
        <v>1.1033333333333332E-2</v>
      </c>
      <c r="G827" s="177">
        <v>6395655737.7049189</v>
      </c>
      <c r="H827" s="177">
        <v>5614268000</v>
      </c>
      <c r="I827" s="175">
        <v>1.1391789165933865</v>
      </c>
      <c r="J827" s="177">
        <v>19.745239458801635</v>
      </c>
    </row>
    <row r="828" spans="1:11">
      <c r="A828" s="65">
        <v>1591</v>
      </c>
      <c r="B828" s="175">
        <v>0.25</v>
      </c>
      <c r="C828" s="184">
        <v>0.76923076923076927</v>
      </c>
      <c r="D828" s="177">
        <v>28000000</v>
      </c>
      <c r="E828" s="26"/>
      <c r="F828" s="184">
        <v>1.9866666666666664E-2</v>
      </c>
      <c r="G828" s="177">
        <v>749000000</v>
      </c>
      <c r="H828" s="177">
        <v>657180000</v>
      </c>
      <c r="I828" s="175">
        <v>1.1397181898414437</v>
      </c>
      <c r="J828" s="177">
        <v>34.774999999999999</v>
      </c>
    </row>
    <row r="829" spans="1:11">
      <c r="A829" s="65">
        <v>4916</v>
      </c>
      <c r="B829" s="175">
        <v>-0.28000000000000003</v>
      </c>
      <c r="C829" s="184">
        <v>0.75</v>
      </c>
      <c r="D829" s="177">
        <v>67857142.857142851</v>
      </c>
      <c r="E829" s="26"/>
      <c r="F829" s="184">
        <v>3.4091666666666673E-2</v>
      </c>
      <c r="G829" s="177">
        <v>1598035714.2857141</v>
      </c>
      <c r="H829" s="177">
        <v>1401904000</v>
      </c>
      <c r="I829" s="175">
        <v>1.1399038124477241</v>
      </c>
      <c r="J829" s="177">
        <v>0</v>
      </c>
    </row>
    <row r="830" spans="1:11">
      <c r="A830" s="65">
        <v>6207</v>
      </c>
      <c r="B830" s="175">
        <v>0.65</v>
      </c>
      <c r="C830" s="184">
        <v>1</v>
      </c>
      <c r="D830" s="177">
        <v>84615384.615384609</v>
      </c>
      <c r="E830" s="26"/>
      <c r="F830" s="184">
        <v>1.0666666666666663E-2</v>
      </c>
      <c r="G830" s="177">
        <v>2508846153.8461537</v>
      </c>
      <c r="H830" s="177">
        <v>2200128000</v>
      </c>
      <c r="I830" s="175">
        <v>1.1403182695943843</v>
      </c>
      <c r="J830" s="177">
        <v>11.403846153846153</v>
      </c>
    </row>
    <row r="831" spans="1:11">
      <c r="A831" s="65">
        <v>1440</v>
      </c>
      <c r="B831" s="175">
        <v>0.26</v>
      </c>
      <c r="C831" s="184">
        <v>0.45238095238095238</v>
      </c>
      <c r="D831" s="177">
        <v>1638461538.4615383</v>
      </c>
      <c r="E831" s="26"/>
      <c r="F831" s="184">
        <v>1.7858333333333334E-2</v>
      </c>
      <c r="G831" s="177">
        <v>25396153846.153843</v>
      </c>
      <c r="H831" s="177">
        <v>22197406000</v>
      </c>
      <c r="I831" s="175">
        <v>1.144104578983411</v>
      </c>
      <c r="J831" s="177">
        <v>32.945344129554655</v>
      </c>
    </row>
    <row r="832" spans="1:11">
      <c r="A832" s="65">
        <v>1724</v>
      </c>
      <c r="B832" s="175">
        <v>0.2</v>
      </c>
      <c r="C832" s="184">
        <v>1</v>
      </c>
      <c r="D832" s="177">
        <v>125000000</v>
      </c>
      <c r="E832" s="26"/>
      <c r="F832" s="184">
        <v>3.3958333333333333E-2</v>
      </c>
      <c r="G832" s="177">
        <v>1975000000</v>
      </c>
      <c r="H832" s="177">
        <v>1722201000</v>
      </c>
      <c r="I832" s="175">
        <v>1.1467883249400042</v>
      </c>
      <c r="J832" s="177">
        <v>19.75</v>
      </c>
    </row>
    <row r="833" spans="1:10">
      <c r="A833" s="65">
        <v>3455</v>
      </c>
      <c r="B833" s="175">
        <v>0.73</v>
      </c>
      <c r="C833" s="184">
        <v>1</v>
      </c>
      <c r="D833" s="177">
        <v>60273972.602739729</v>
      </c>
      <c r="E833" s="26"/>
      <c r="F833" s="184">
        <v>3.1783333333333337E-2</v>
      </c>
      <c r="G833" s="177">
        <v>1666575342.4657533</v>
      </c>
      <c r="H833" s="177">
        <v>1450057000</v>
      </c>
      <c r="I833" s="175">
        <v>1.1493171250962917</v>
      </c>
      <c r="J833" s="177">
        <v>9.4691780821917799</v>
      </c>
    </row>
    <row r="834" spans="1:10">
      <c r="A834" s="65">
        <v>3122</v>
      </c>
      <c r="B834" s="175">
        <v>0.28999999999999998</v>
      </c>
      <c r="C834" s="184">
        <v>0.94117647058823528</v>
      </c>
      <c r="D834" s="177">
        <v>37931034.482758626</v>
      </c>
      <c r="E834" s="26"/>
      <c r="F834" s="184">
        <v>1.6025000000000001E-2</v>
      </c>
      <c r="G834" s="177">
        <v>625862068.96551728</v>
      </c>
      <c r="H834" s="177">
        <v>544438000</v>
      </c>
      <c r="I834" s="175">
        <v>1.1495561826424998</v>
      </c>
      <c r="J834" s="177">
        <v>15.113146551724141</v>
      </c>
    </row>
    <row r="835" spans="1:10">
      <c r="A835" s="65">
        <v>5608</v>
      </c>
      <c r="B835" s="175">
        <v>-0.09</v>
      </c>
      <c r="C835" s="184">
        <v>0</v>
      </c>
      <c r="D835" s="177">
        <v>388888888.8888889</v>
      </c>
      <c r="E835" s="26"/>
      <c r="F835" s="184">
        <v>1.0633333333333337E-2</v>
      </c>
      <c r="G835" s="177">
        <v>5327777777.7777777</v>
      </c>
      <c r="H835" s="177">
        <v>4607643000</v>
      </c>
      <c r="I835" s="175">
        <v>1.1562913571597837</v>
      </c>
      <c r="J835" s="177">
        <v>0</v>
      </c>
    </row>
    <row r="836" spans="1:10">
      <c r="A836" s="65">
        <v>2442</v>
      </c>
      <c r="B836" s="175">
        <v>0.09</v>
      </c>
      <c r="C836" s="184">
        <v>0.33898305084745761</v>
      </c>
      <c r="D836" s="177">
        <v>188888888.8888889</v>
      </c>
      <c r="E836" s="26"/>
      <c r="F836" s="184">
        <v>0.14344999999999999</v>
      </c>
      <c r="G836" s="177">
        <v>1316555555.5555556</v>
      </c>
      <c r="H836" s="177">
        <v>1138205000</v>
      </c>
      <c r="I836" s="175">
        <v>1.156694580989853</v>
      </c>
      <c r="J836" s="177">
        <v>50</v>
      </c>
    </row>
    <row r="837" spans="1:10">
      <c r="A837" s="65">
        <v>4972</v>
      </c>
      <c r="B837" s="175">
        <v>0.99</v>
      </c>
      <c r="C837" s="184">
        <v>0.84905660377358494</v>
      </c>
      <c r="D837" s="177">
        <v>38383838.383838385</v>
      </c>
      <c r="E837" s="26"/>
      <c r="F837" s="184">
        <v>2.9983333333333334E-2</v>
      </c>
      <c r="G837" s="177">
        <v>1500808080.8080809</v>
      </c>
      <c r="H837" s="177">
        <v>1297228000</v>
      </c>
      <c r="I837" s="175">
        <v>1.1569346952178652</v>
      </c>
      <c r="J837" s="177">
        <v>11.629068462401797</v>
      </c>
    </row>
    <row r="838" spans="1:10">
      <c r="A838" s="65">
        <v>8410</v>
      </c>
      <c r="B838" s="175">
        <v>-0.99</v>
      </c>
      <c r="C838" s="184">
        <v>1</v>
      </c>
      <c r="D838" s="177">
        <v>36363636.363636367</v>
      </c>
      <c r="E838" s="26"/>
      <c r="F838" s="184">
        <v>3.1316666666666666E-2</v>
      </c>
      <c r="G838" s="177">
        <v>809090909.09090912</v>
      </c>
      <c r="H838" s="177">
        <v>698448000</v>
      </c>
      <c r="I838" s="175">
        <v>1.1584125218926951</v>
      </c>
      <c r="J838" s="177">
        <v>0</v>
      </c>
    </row>
    <row r="839" spans="1:10">
      <c r="A839" s="65">
        <v>3297</v>
      </c>
      <c r="B839" s="175">
        <v>-0.17</v>
      </c>
      <c r="C839" s="184">
        <v>1</v>
      </c>
      <c r="D839" s="177">
        <v>35294117.647058822</v>
      </c>
      <c r="E839" s="26"/>
      <c r="F839" s="184">
        <v>-1.8374999999999999E-2</v>
      </c>
      <c r="G839" s="177">
        <v>670588235.29411757</v>
      </c>
      <c r="H839" s="177">
        <v>577658000</v>
      </c>
      <c r="I839" s="175">
        <v>1.1608741423023963</v>
      </c>
      <c r="J839" s="177">
        <v>0</v>
      </c>
    </row>
    <row r="840" spans="1:10">
      <c r="A840" s="65">
        <v>1788</v>
      </c>
      <c r="B840" s="175">
        <v>1.44</v>
      </c>
      <c r="C840" s="184">
        <v>0.75221238938053092</v>
      </c>
      <c r="D840" s="177">
        <v>34722222.222222224</v>
      </c>
      <c r="E840" s="26"/>
      <c r="F840" s="184">
        <v>8.9666666666666662E-3</v>
      </c>
      <c r="G840" s="177">
        <v>3121527777.7777781</v>
      </c>
      <c r="H840" s="177">
        <v>2686251000</v>
      </c>
      <c r="I840" s="175">
        <v>1.1620387587674339</v>
      </c>
      <c r="J840" s="177">
        <v>20.74897875816994</v>
      </c>
    </row>
    <row r="841" spans="1:10">
      <c r="A841" s="65">
        <v>2062</v>
      </c>
      <c r="B841" s="175">
        <v>0.68</v>
      </c>
      <c r="C841" s="184">
        <v>1</v>
      </c>
      <c r="D841" s="177">
        <v>161764705.88235292</v>
      </c>
      <c r="E841" s="26"/>
      <c r="F841" s="184">
        <v>1.3433333333333334E-2</v>
      </c>
      <c r="G841" s="177">
        <v>7691911764.7058811</v>
      </c>
      <c r="H841" s="177">
        <v>6597840000</v>
      </c>
      <c r="I841" s="175">
        <v>1.165822718451172</v>
      </c>
      <c r="J841" s="177">
        <v>17.481617647058822</v>
      </c>
    </row>
    <row r="842" spans="1:10">
      <c r="A842" s="65">
        <v>4305</v>
      </c>
      <c r="B842" s="175">
        <v>0.77</v>
      </c>
      <c r="C842" s="184">
        <v>0.98550724637681164</v>
      </c>
      <c r="D842" s="177">
        <v>55844155.844155841</v>
      </c>
      <c r="E842" s="26"/>
      <c r="F842" s="184">
        <v>2.4666666666666704E-3</v>
      </c>
      <c r="G842" s="177">
        <v>1468701298.7012987</v>
      </c>
      <c r="H842" s="177">
        <v>1256782000</v>
      </c>
      <c r="I842" s="175">
        <v>1.1686205711899906</v>
      </c>
      <c r="J842" s="177">
        <v>8.6645339954163489</v>
      </c>
    </row>
    <row r="843" spans="1:10">
      <c r="A843" s="65">
        <v>2426</v>
      </c>
      <c r="B843" s="175">
        <v>0.37</v>
      </c>
      <c r="C843" s="184">
        <v>1</v>
      </c>
      <c r="D843" s="177">
        <v>275675675.67567569</v>
      </c>
      <c r="E843" s="26"/>
      <c r="F843" s="184">
        <v>4.2250000000000022E-3</v>
      </c>
      <c r="G843" s="177">
        <v>4314324324.3243246</v>
      </c>
      <c r="H843" s="177">
        <v>3684172000</v>
      </c>
      <c r="I843" s="175">
        <v>1.1710431337962302</v>
      </c>
      <c r="J843" s="177">
        <v>10.574324324324325</v>
      </c>
    </row>
    <row r="844" spans="1:10">
      <c r="A844" s="65">
        <v>6505</v>
      </c>
      <c r="B844" s="175">
        <v>2.59</v>
      </c>
      <c r="C844" s="184">
        <v>0.96838802153953429</v>
      </c>
      <c r="D844" s="177">
        <v>9533204633.2046337</v>
      </c>
      <c r="E844" s="26"/>
      <c r="F844" s="184">
        <v>-2.1666666666666664E-2</v>
      </c>
      <c r="G844" s="177">
        <v>761703050193.05029</v>
      </c>
      <c r="H844" s="177">
        <v>649848280000</v>
      </c>
      <c r="I844" s="175">
        <v>1.1721244383274358</v>
      </c>
      <c r="J844" s="177">
        <v>7.9641166978647497</v>
      </c>
    </row>
    <row r="845" spans="1:10">
      <c r="A845" s="65">
        <v>8454</v>
      </c>
      <c r="B845" s="175">
        <v>1.82</v>
      </c>
      <c r="C845" s="184">
        <v>0.80492424242424243</v>
      </c>
      <c r="D845" s="177">
        <v>142307692.30769229</v>
      </c>
      <c r="E845" s="26"/>
      <c r="F845" s="184">
        <v>8.8333333333333439E-4</v>
      </c>
      <c r="G845" s="177">
        <v>29457692307.692303</v>
      </c>
      <c r="H845" s="177">
        <v>25121110000</v>
      </c>
      <c r="I845" s="175">
        <v>1.1726270179817813</v>
      </c>
      <c r="J845" s="177">
        <v>35.325145442792497</v>
      </c>
    </row>
    <row r="846" spans="1:10">
      <c r="A846" s="65">
        <v>5215</v>
      </c>
      <c r="B846" s="175">
        <v>1.06</v>
      </c>
      <c r="C846" s="184">
        <v>0.83653846153846156</v>
      </c>
      <c r="D846" s="177">
        <v>54716981.132075466</v>
      </c>
      <c r="E846" s="26"/>
      <c r="F846" s="184">
        <v>4.6716666666666663E-2</v>
      </c>
      <c r="G846" s="177">
        <v>2224245283.0188675</v>
      </c>
      <c r="H846" s="177">
        <v>1887056000</v>
      </c>
      <c r="I846" s="175">
        <v>1.1786853612287433</v>
      </c>
      <c r="J846" s="177">
        <v>11.460637605725438</v>
      </c>
    </row>
    <row r="847" spans="1:10">
      <c r="A847" s="65">
        <v>8403</v>
      </c>
      <c r="B847" s="175">
        <v>0.76</v>
      </c>
      <c r="C847" s="184">
        <v>0.13253012048192772</v>
      </c>
      <c r="D847" s="177">
        <v>57894736.842105262</v>
      </c>
      <c r="E847" s="26"/>
      <c r="F847" s="184">
        <v>9.3416666666666648E-3</v>
      </c>
      <c r="G847" s="177">
        <v>2422894736.8421054</v>
      </c>
      <c r="H847" s="177">
        <v>2052105000</v>
      </c>
      <c r="I847" s="175">
        <v>1.1806875071412553</v>
      </c>
      <c r="J847" s="177">
        <v>50</v>
      </c>
    </row>
    <row r="848" spans="1:10">
      <c r="A848" s="65">
        <v>6269</v>
      </c>
      <c r="B848" s="175">
        <v>1.5</v>
      </c>
      <c r="C848" s="184">
        <v>1</v>
      </c>
      <c r="D848" s="177">
        <v>239333333.33333334</v>
      </c>
      <c r="E848" s="26"/>
      <c r="F848" s="184">
        <v>7.4616666666666637E-2</v>
      </c>
      <c r="G848" s="177">
        <v>22449466666.666668</v>
      </c>
      <c r="H848" s="177">
        <v>18979050000</v>
      </c>
      <c r="I848" s="175">
        <v>1.1828551306133166</v>
      </c>
      <c r="J848" s="177">
        <v>15.633333333333333</v>
      </c>
    </row>
    <row r="849" spans="1:11">
      <c r="A849" s="65">
        <v>6230</v>
      </c>
      <c r="B849" s="175">
        <v>1.18</v>
      </c>
      <c r="C849" s="184">
        <v>0.81545064377682408</v>
      </c>
      <c r="D849" s="177">
        <v>86440677.966101706</v>
      </c>
      <c r="E849" s="26"/>
      <c r="F849" s="184">
        <v>1.6999999999999994E-2</v>
      </c>
      <c r="G849" s="177">
        <v>6872033898.3050852</v>
      </c>
      <c r="H849" s="177">
        <v>5803279000</v>
      </c>
      <c r="I849" s="175">
        <v>1.1841639697669344</v>
      </c>
      <c r="J849" s="177">
        <v>20.655107047279213</v>
      </c>
    </row>
    <row r="850" spans="1:11">
      <c r="A850" s="65">
        <v>3232</v>
      </c>
      <c r="B850" s="175">
        <v>0.41</v>
      </c>
      <c r="C850" s="184">
        <v>1</v>
      </c>
      <c r="D850" s="177">
        <v>31707317.073170733</v>
      </c>
      <c r="E850" s="26"/>
      <c r="F850" s="184">
        <v>-5.5533333333333323E-2</v>
      </c>
      <c r="G850" s="177">
        <v>929024390.24390244</v>
      </c>
      <c r="H850" s="177">
        <v>784147000</v>
      </c>
      <c r="I850" s="175">
        <v>1.1847579474816616</v>
      </c>
      <c r="J850" s="177">
        <v>17.865853658536587</v>
      </c>
    </row>
    <row r="851" spans="1:11">
      <c r="A851" s="65">
        <v>1611</v>
      </c>
      <c r="B851" s="175">
        <v>-0.36</v>
      </c>
      <c r="C851" s="184">
        <v>0</v>
      </c>
      <c r="D851" s="177">
        <v>394444444.44444448</v>
      </c>
      <c r="E851" s="26"/>
      <c r="F851" s="184">
        <v>5.3583333333333356E-3</v>
      </c>
      <c r="G851" s="177">
        <v>3246277777.7777781</v>
      </c>
      <c r="H851" s="177">
        <v>2737938000</v>
      </c>
      <c r="I851" s="175">
        <v>1.1856651895615526</v>
      </c>
      <c r="J851" s="177">
        <v>0</v>
      </c>
    </row>
    <row r="852" spans="1:11">
      <c r="A852" s="65">
        <v>2536</v>
      </c>
      <c r="B852" s="175">
        <v>0.5</v>
      </c>
      <c r="C852" s="184">
        <v>1</v>
      </c>
      <c r="D852" s="177">
        <v>330000000</v>
      </c>
      <c r="E852" s="26"/>
      <c r="F852" s="184">
        <v>0.86568333333333325</v>
      </c>
      <c r="G852" s="177">
        <v>7458000000</v>
      </c>
      <c r="H852" s="177">
        <v>6289055000</v>
      </c>
      <c r="I852" s="175">
        <v>1.1858697371862705</v>
      </c>
      <c r="J852" s="177">
        <v>11.3</v>
      </c>
    </row>
    <row r="853" spans="1:11">
      <c r="A853" s="65">
        <v>3025</v>
      </c>
      <c r="B853" s="175">
        <v>-0.06</v>
      </c>
      <c r="C853" s="184">
        <v>0.92307692307692313</v>
      </c>
      <c r="D853" s="177">
        <v>66666666.666666672</v>
      </c>
      <c r="E853" s="26"/>
      <c r="F853" s="184">
        <v>9.4358333333333322E-2</v>
      </c>
      <c r="G853" s="177">
        <v>547333333.33333337</v>
      </c>
      <c r="H853" s="177">
        <v>460776000</v>
      </c>
      <c r="I853" s="175">
        <v>1.187851219102847</v>
      </c>
      <c r="J853" s="177">
        <v>0</v>
      </c>
    </row>
    <row r="854" spans="1:11">
      <c r="A854" s="65">
        <v>8266</v>
      </c>
      <c r="B854" s="175">
        <v>-0.68</v>
      </c>
      <c r="C854" s="184">
        <v>0.17518248175182483</v>
      </c>
      <c r="D854" s="177">
        <v>101470588.2352941</v>
      </c>
      <c r="E854" s="26"/>
      <c r="F854" s="184">
        <v>0.46475</v>
      </c>
      <c r="G854" s="177">
        <v>3018749999.9999995</v>
      </c>
      <c r="H854" s="177">
        <v>2534626000</v>
      </c>
      <c r="I854" s="175">
        <v>1.1910041165836693</v>
      </c>
      <c r="J854" s="177">
        <v>0</v>
      </c>
    </row>
    <row r="855" spans="1:11">
      <c r="A855" s="65">
        <v>1414</v>
      </c>
      <c r="B855" s="175">
        <v>-0.02</v>
      </c>
      <c r="C855" s="184">
        <v>0.75</v>
      </c>
      <c r="D855" s="177">
        <v>200000000</v>
      </c>
      <c r="E855" s="26"/>
      <c r="F855" s="184">
        <v>8.0916666666666724E-3</v>
      </c>
      <c r="G855" s="177">
        <v>1396000000</v>
      </c>
      <c r="H855" s="177">
        <v>1171113000</v>
      </c>
      <c r="I855" s="175">
        <v>1.1920284379047965</v>
      </c>
      <c r="J855" s="177">
        <v>0</v>
      </c>
    </row>
    <row r="856" spans="1:11">
      <c r="A856" s="65">
        <v>6114</v>
      </c>
      <c r="B856" s="175">
        <v>1.6</v>
      </c>
      <c r="C856" s="184">
        <v>1</v>
      </c>
      <c r="D856" s="177">
        <v>36250000</v>
      </c>
      <c r="E856" s="26"/>
      <c r="F856" s="184">
        <v>0.18654166666666663</v>
      </c>
      <c r="G856" s="177">
        <v>2048125000</v>
      </c>
      <c r="H856" s="177">
        <v>1716666000</v>
      </c>
      <c r="I856" s="175">
        <v>1.1930829876050437</v>
      </c>
      <c r="J856" s="177">
        <v>8.828125</v>
      </c>
    </row>
    <row r="857" spans="1:11">
      <c r="A857" s="65">
        <v>1817</v>
      </c>
      <c r="B857" s="175">
        <v>0.65</v>
      </c>
      <c r="C857" s="184">
        <v>1</v>
      </c>
      <c r="D857" s="177">
        <v>72307692.307692304</v>
      </c>
      <c r="E857" s="26"/>
      <c r="F857" s="184">
        <v>4.6566666666666666E-2</v>
      </c>
      <c r="G857" s="177">
        <v>2538000000</v>
      </c>
      <c r="H857" s="177">
        <v>2122586000</v>
      </c>
      <c r="I857" s="175">
        <v>1.195711269178257</v>
      </c>
      <c r="J857" s="177">
        <v>13.5</v>
      </c>
    </row>
    <row r="858" spans="1:11">
      <c r="A858" s="65">
        <v>3373</v>
      </c>
      <c r="B858" s="175">
        <v>0.3</v>
      </c>
      <c r="C858" s="184">
        <v>1</v>
      </c>
      <c r="D858" s="177">
        <v>43333333.333333336</v>
      </c>
      <c r="E858" s="26"/>
      <c r="F858" s="184">
        <v>2.5991666666666666E-2</v>
      </c>
      <c r="G858" s="177">
        <v>1057333333.3333334</v>
      </c>
      <c r="H858" s="177">
        <v>881623000</v>
      </c>
      <c r="I858" s="175">
        <v>1.1993032547169633</v>
      </c>
      <c r="J858" s="177">
        <v>20.333333333333332</v>
      </c>
    </row>
    <row r="859" spans="1:11">
      <c r="A859" s="65">
        <v>3511</v>
      </c>
      <c r="B859" s="175">
        <v>1.01</v>
      </c>
      <c r="C859" s="184">
        <v>0.95238095238095233</v>
      </c>
      <c r="D859" s="177">
        <v>39603960.396039605</v>
      </c>
      <c r="E859" s="26"/>
      <c r="F859" s="184">
        <v>3.8716666666666663E-2</v>
      </c>
      <c r="G859" s="177">
        <v>1445544554.4554455</v>
      </c>
      <c r="H859" s="177">
        <v>1202237000</v>
      </c>
      <c r="I859" s="175">
        <v>1.2023790271431054</v>
      </c>
      <c r="J859" s="177">
        <v>9.486386138613863</v>
      </c>
    </row>
    <row r="860" spans="1:11">
      <c r="A860" s="65">
        <v>3664</v>
      </c>
      <c r="B860" s="175">
        <v>2.4700000000000002</v>
      </c>
      <c r="C860" s="184">
        <v>0.88888888888888884</v>
      </c>
      <c r="D860" s="177">
        <v>76923076.923076913</v>
      </c>
      <c r="E860" s="26"/>
      <c r="F860" s="184">
        <v>0.38208333333333327</v>
      </c>
      <c r="G860" s="177">
        <v>1346153846.153846</v>
      </c>
      <c r="H860" s="177">
        <v>1115439000</v>
      </c>
      <c r="I860" s="175">
        <v>1.2068377079821004</v>
      </c>
      <c r="J860" s="177">
        <v>1.992661943319838</v>
      </c>
    </row>
    <row r="861" spans="1:11">
      <c r="A861" s="65">
        <v>1603</v>
      </c>
      <c r="B861" s="175">
        <v>0.17</v>
      </c>
      <c r="C861" s="184">
        <v>0.35625000000000001</v>
      </c>
      <c r="D861" s="177">
        <v>282352941.17647058</v>
      </c>
      <c r="E861" s="26"/>
      <c r="F861" s="184">
        <v>7.0175000000000015E-2</v>
      </c>
      <c r="G861" s="177">
        <v>3331764705.8823528</v>
      </c>
      <c r="H861" s="177">
        <v>2759751000</v>
      </c>
      <c r="I861" s="175">
        <v>1.2072700420734888</v>
      </c>
      <c r="J861" s="177">
        <v>48.710010319917437</v>
      </c>
    </row>
    <row r="862" spans="1:11">
      <c r="A862" s="65">
        <v>9960</v>
      </c>
      <c r="B862" s="175">
        <v>0.2</v>
      </c>
      <c r="C862" s="184">
        <v>0.1</v>
      </c>
      <c r="D862" s="177">
        <v>35000000</v>
      </c>
      <c r="E862" s="26"/>
      <c r="F862" s="184">
        <v>7.6916666666666661E-3</v>
      </c>
      <c r="G862" s="177">
        <v>666750000</v>
      </c>
      <c r="H862" s="177">
        <v>551891000</v>
      </c>
      <c r="I862" s="175">
        <v>1.2081189945115973</v>
      </c>
      <c r="J862" s="177">
        <v>50</v>
      </c>
    </row>
    <row r="863" spans="1:11">
      <c r="A863" s="65">
        <v>3443</v>
      </c>
      <c r="B863" s="175">
        <v>0.66</v>
      </c>
      <c r="C863" s="184">
        <v>0.97</v>
      </c>
      <c r="D863" s="177">
        <v>134848484.84848484</v>
      </c>
      <c r="E863" s="26"/>
      <c r="F863" s="184">
        <v>3.2633333333333327E-2</v>
      </c>
      <c r="G863" s="177">
        <v>9088787878.7878799</v>
      </c>
      <c r="H863" s="177">
        <v>7520194000</v>
      </c>
      <c r="I863" s="175">
        <v>1.2085842305115906</v>
      </c>
      <c r="J863" s="177">
        <v>26.319900031240241</v>
      </c>
    </row>
    <row r="864" spans="1:11">
      <c r="A864" s="65">
        <v>2705</v>
      </c>
      <c r="B864" s="175">
        <v>-0.03</v>
      </c>
      <c r="C864" s="184">
        <v>1</v>
      </c>
      <c r="D864" s="177">
        <v>333333333.33333337</v>
      </c>
      <c r="E864" s="26"/>
      <c r="F864" s="184">
        <v>1.5866666666666664E-2</v>
      </c>
      <c r="G864" s="177">
        <v>3533333333.3333335</v>
      </c>
      <c r="H864" s="177">
        <v>2909235000</v>
      </c>
      <c r="I864" s="175">
        <v>1.2145231764822482</v>
      </c>
      <c r="J864" s="177">
        <v>0</v>
      </c>
      <c r="K864" s="32"/>
    </row>
    <row r="865" spans="1:10">
      <c r="A865" s="65">
        <v>8155</v>
      </c>
      <c r="B865" s="175">
        <v>0.01</v>
      </c>
      <c r="C865" s="184">
        <v>1</v>
      </c>
      <c r="D865" s="177">
        <v>100000000</v>
      </c>
      <c r="E865" s="26"/>
      <c r="F865" s="184">
        <v>-1.3333333333333336E-2</v>
      </c>
      <c r="G865" s="177">
        <v>1950000000</v>
      </c>
      <c r="H865" s="177">
        <v>1604718000</v>
      </c>
      <c r="I865" s="175">
        <v>1.2151667769664203</v>
      </c>
      <c r="J865" s="177">
        <v>50</v>
      </c>
    </row>
    <row r="866" spans="1:10">
      <c r="A866" s="65">
        <v>3354</v>
      </c>
      <c r="B866" s="175">
        <v>-0.1</v>
      </c>
      <c r="C866" s="184">
        <v>0.30769230769230771</v>
      </c>
      <c r="D866" s="177">
        <v>90000000</v>
      </c>
      <c r="E866" s="26"/>
      <c r="F866" s="184">
        <v>-2.2416666666666672E-2</v>
      </c>
      <c r="G866" s="177">
        <v>728100000</v>
      </c>
      <c r="H866" s="177">
        <v>599136000</v>
      </c>
      <c r="I866" s="175">
        <v>1.215249959942317</v>
      </c>
      <c r="J866" s="177">
        <v>0</v>
      </c>
    </row>
    <row r="867" spans="1:10">
      <c r="A867" s="65">
        <v>4935</v>
      </c>
      <c r="B867" s="175">
        <v>1.2</v>
      </c>
      <c r="C867" s="184">
        <v>0.99665551839464883</v>
      </c>
      <c r="D867" s="177">
        <v>130000000</v>
      </c>
      <c r="E867" s="26"/>
      <c r="F867" s="184">
        <v>2.6183333333333333E-2</v>
      </c>
      <c r="G867" s="177">
        <v>8684000000</v>
      </c>
      <c r="H867" s="177">
        <v>7132965000</v>
      </c>
      <c r="I867" s="175">
        <v>1.2174460410222117</v>
      </c>
      <c r="J867" s="177">
        <v>13.963366890380312</v>
      </c>
    </row>
    <row r="868" spans="1:10">
      <c r="A868" s="65">
        <v>2108</v>
      </c>
      <c r="B868" s="175">
        <v>0.74</v>
      </c>
      <c r="C868" s="184">
        <v>0.97014925373134331</v>
      </c>
      <c r="D868" s="177">
        <v>424324324.32432431</v>
      </c>
      <c r="E868" s="26"/>
      <c r="F868" s="184">
        <v>1.880833333333333E-2</v>
      </c>
      <c r="G868" s="177">
        <v>11775000000</v>
      </c>
      <c r="H868" s="177">
        <v>9654156000</v>
      </c>
      <c r="I868" s="175">
        <v>1.2196819690918606</v>
      </c>
      <c r="J868" s="177">
        <v>9.6634615384615383</v>
      </c>
    </row>
    <row r="869" spans="1:10">
      <c r="A869" s="65">
        <v>2362</v>
      </c>
      <c r="B869" s="175">
        <v>0.42</v>
      </c>
      <c r="C869" s="184">
        <v>1</v>
      </c>
      <c r="D869" s="177">
        <v>650000000</v>
      </c>
      <c r="E869" s="26"/>
      <c r="F869" s="184">
        <v>3.4191666666666669E-2</v>
      </c>
      <c r="G869" s="177">
        <v>23432500000</v>
      </c>
      <c r="H869" s="177">
        <v>19200600000</v>
      </c>
      <c r="I869" s="175">
        <v>1.2204045706904993</v>
      </c>
      <c r="J869" s="177">
        <v>21.458333333333332</v>
      </c>
    </row>
    <row r="870" spans="1:10">
      <c r="A870" s="65">
        <v>6405</v>
      </c>
      <c r="B870" s="175">
        <v>0.12</v>
      </c>
      <c r="C870" s="184">
        <v>0.90909090909090906</v>
      </c>
      <c r="D870" s="177">
        <v>66666666.666666672</v>
      </c>
      <c r="E870" s="26"/>
      <c r="F870" s="184">
        <v>-3.4749999999999968E-3</v>
      </c>
      <c r="G870" s="177">
        <v>1696666666.6666667</v>
      </c>
      <c r="H870" s="177">
        <v>1389182000</v>
      </c>
      <c r="I870" s="175">
        <v>1.2213422479319964</v>
      </c>
      <c r="J870" s="177">
        <v>50</v>
      </c>
    </row>
    <row r="871" spans="1:10">
      <c r="A871" s="65">
        <v>2338</v>
      </c>
      <c r="B871" s="175">
        <v>-0.32</v>
      </c>
      <c r="C871" s="184">
        <v>0.17808219178082191</v>
      </c>
      <c r="D871" s="177">
        <v>243750000</v>
      </c>
      <c r="E871" s="26"/>
      <c r="F871" s="184">
        <v>2.3124999999999996E-2</v>
      </c>
      <c r="G871" s="177">
        <v>1920750000</v>
      </c>
      <c r="H871" s="177">
        <v>1567859000</v>
      </c>
      <c r="I871" s="175">
        <v>1.2250782755337055</v>
      </c>
      <c r="J871" s="177">
        <v>0</v>
      </c>
    </row>
    <row r="872" spans="1:10">
      <c r="A872" s="65">
        <v>4745</v>
      </c>
      <c r="B872" s="175">
        <v>0.75</v>
      </c>
      <c r="C872" s="184">
        <v>1</v>
      </c>
      <c r="D872" s="177">
        <v>56000000</v>
      </c>
      <c r="E872" s="26"/>
      <c r="F872" s="184">
        <v>3.0799999999999994E-2</v>
      </c>
      <c r="G872" s="177">
        <v>3976000000</v>
      </c>
      <c r="H872" s="177">
        <v>3242131000</v>
      </c>
      <c r="I872" s="175">
        <v>1.2263539011841287</v>
      </c>
      <c r="J872" s="177">
        <v>23.666666666666668</v>
      </c>
    </row>
    <row r="873" spans="1:10">
      <c r="A873" s="65">
        <v>9941</v>
      </c>
      <c r="B873" s="175">
        <v>1.86</v>
      </c>
      <c r="C873" s="184">
        <v>0.95638297872340428</v>
      </c>
      <c r="D873" s="177">
        <v>265591397.84946236</v>
      </c>
      <c r="E873" s="26"/>
      <c r="F873" s="184">
        <v>1.1666666666666665E-3</v>
      </c>
      <c r="G873" s="177">
        <v>20530215053.763439</v>
      </c>
      <c r="H873" s="177">
        <v>16714314000</v>
      </c>
      <c r="I873" s="175">
        <v>1.2283013860911933</v>
      </c>
      <c r="J873" s="177">
        <v>10.863623859246234</v>
      </c>
    </row>
    <row r="874" spans="1:10">
      <c r="A874" s="65">
        <v>2491</v>
      </c>
      <c r="B874" s="175">
        <v>-0.21</v>
      </c>
      <c r="C874" s="184">
        <v>0.65384615384615385</v>
      </c>
      <c r="D874" s="177">
        <v>66666666.666666672</v>
      </c>
      <c r="E874" s="26"/>
      <c r="F874" s="184">
        <v>5.8183333333333344E-2</v>
      </c>
      <c r="G874" s="177">
        <v>536666666.66666675</v>
      </c>
      <c r="H874" s="177">
        <v>435809000</v>
      </c>
      <c r="I874" s="175">
        <v>1.2314263052545191</v>
      </c>
      <c r="J874" s="177">
        <v>0</v>
      </c>
    </row>
    <row r="875" spans="1:10">
      <c r="A875" s="65">
        <v>2316</v>
      </c>
      <c r="B875" s="175">
        <v>13.49</v>
      </c>
      <c r="C875" s="184">
        <v>0</v>
      </c>
      <c r="D875" s="177">
        <v>317272053.37286878</v>
      </c>
      <c r="E875" s="26"/>
      <c r="F875" s="184">
        <v>-2.1766666666666667E-2</v>
      </c>
      <c r="G875" s="177">
        <v>8534618235.7301693</v>
      </c>
      <c r="H875" s="177">
        <v>6906730000</v>
      </c>
      <c r="I875" s="175">
        <v>1.2356959423243952</v>
      </c>
      <c r="J875" s="177">
        <v>0</v>
      </c>
    </row>
    <row r="876" spans="1:10">
      <c r="A876" s="65">
        <v>6605</v>
      </c>
      <c r="B876" s="175">
        <v>1.64</v>
      </c>
      <c r="C876" s="184">
        <v>1</v>
      </c>
      <c r="D876" s="177">
        <v>165243902.43902439</v>
      </c>
      <c r="E876" s="26"/>
      <c r="F876" s="184">
        <v>1.6450000000000003E-2</v>
      </c>
      <c r="G876" s="177">
        <v>18011585365.853657</v>
      </c>
      <c r="H876" s="177">
        <v>14573537000</v>
      </c>
      <c r="I876" s="175">
        <v>1.2359103603918291</v>
      </c>
      <c r="J876" s="177">
        <v>16.615853658536587</v>
      </c>
    </row>
    <row r="877" spans="1:10">
      <c r="A877" s="65">
        <v>3042</v>
      </c>
      <c r="B877" s="175">
        <v>0.56999999999999995</v>
      </c>
      <c r="C877" s="184">
        <v>0.84422110552763818</v>
      </c>
      <c r="D877" s="177">
        <v>310526315.78947371</v>
      </c>
      <c r="E877" s="26"/>
      <c r="F877" s="184">
        <v>5.033333333333335E-3</v>
      </c>
      <c r="G877" s="177">
        <v>11442894736.842106</v>
      </c>
      <c r="H877" s="177">
        <v>9246663000</v>
      </c>
      <c r="I877" s="175">
        <v>1.2375161435906235</v>
      </c>
      <c r="J877" s="177">
        <v>19.144606307435257</v>
      </c>
    </row>
    <row r="878" spans="1:10">
      <c r="A878" s="65">
        <v>1531</v>
      </c>
      <c r="B878" s="175">
        <v>0.24</v>
      </c>
      <c r="C878" s="184">
        <v>0.921875</v>
      </c>
      <c r="D878" s="177">
        <v>183333333.33333334</v>
      </c>
      <c r="E878" s="26"/>
      <c r="F878" s="184">
        <v>3.8333333333333379E-3</v>
      </c>
      <c r="G878" s="177">
        <v>3254166666.666667</v>
      </c>
      <c r="H878" s="177">
        <v>2624539000</v>
      </c>
      <c r="I878" s="175">
        <v>1.2399002897905753</v>
      </c>
      <c r="J878" s="177">
        <v>20.056497175141242</v>
      </c>
    </row>
    <row r="879" spans="1:10">
      <c r="A879" s="65">
        <v>2373</v>
      </c>
      <c r="B879" s="175">
        <v>0.96</v>
      </c>
      <c r="C879" s="184">
        <v>0.31596638655462184</v>
      </c>
      <c r="D879" s="177">
        <v>311458333.33333337</v>
      </c>
      <c r="E879" s="26"/>
      <c r="F879" s="184">
        <v>3.3999999999999996E-2</v>
      </c>
      <c r="G879" s="177">
        <v>16164687500.000002</v>
      </c>
      <c r="H879" s="177">
        <v>13011474000</v>
      </c>
      <c r="I879" s="175">
        <v>1.2423409907286447</v>
      </c>
      <c r="J879" s="177">
        <v>42.775515292553195</v>
      </c>
    </row>
    <row r="880" spans="1:10">
      <c r="A880" s="65">
        <v>3066</v>
      </c>
      <c r="B880" s="175">
        <v>-0.42</v>
      </c>
      <c r="C880" s="184">
        <v>1</v>
      </c>
      <c r="D880" s="177">
        <v>83333333.333333343</v>
      </c>
      <c r="E880" s="26"/>
      <c r="F880" s="184">
        <v>4.9291666666666671E-2</v>
      </c>
      <c r="G880" s="177">
        <v>666666666.66666675</v>
      </c>
      <c r="H880" s="177">
        <v>534438000</v>
      </c>
      <c r="I880" s="175">
        <v>1.2474162890113853</v>
      </c>
      <c r="J880" s="177">
        <v>0</v>
      </c>
    </row>
    <row r="881" spans="1:10">
      <c r="A881" s="65">
        <v>1584</v>
      </c>
      <c r="B881" s="175">
        <v>0.05</v>
      </c>
      <c r="C881" s="184">
        <v>0</v>
      </c>
      <c r="D881" s="177">
        <v>100000000</v>
      </c>
      <c r="E881" s="26"/>
      <c r="F881" s="184">
        <v>-2.9883333333333331E-2</v>
      </c>
      <c r="G881" s="177">
        <v>1355000000</v>
      </c>
      <c r="H881" s="177">
        <v>1086175000</v>
      </c>
      <c r="I881" s="175">
        <v>1.247496950307271</v>
      </c>
      <c r="J881" s="177">
        <v>0</v>
      </c>
    </row>
    <row r="882" spans="1:10">
      <c r="A882" s="65">
        <v>9929</v>
      </c>
      <c r="B882" s="175">
        <v>-0.33</v>
      </c>
      <c r="C882" s="184">
        <v>1</v>
      </c>
      <c r="D882" s="177">
        <v>109090909.09090908</v>
      </c>
      <c r="E882" s="26"/>
      <c r="F882" s="184">
        <v>7.1166666666666635E-3</v>
      </c>
      <c r="G882" s="177">
        <v>1412727272.7272725</v>
      </c>
      <c r="H882" s="177">
        <v>1131476000</v>
      </c>
      <c r="I882" s="175">
        <v>1.2485702504757259</v>
      </c>
      <c r="J882" s="177">
        <v>0</v>
      </c>
    </row>
    <row r="883" spans="1:10">
      <c r="A883" s="65">
        <v>3325</v>
      </c>
      <c r="B883" s="175">
        <v>-0.01</v>
      </c>
      <c r="C883" s="184">
        <v>0.88888888888888884</v>
      </c>
      <c r="D883" s="177">
        <v>100000000</v>
      </c>
      <c r="E883" s="26"/>
      <c r="F883" s="184">
        <v>5.6075000000000007E-2</v>
      </c>
      <c r="G883" s="177">
        <v>1560000000</v>
      </c>
      <c r="H883" s="177">
        <v>1247699000</v>
      </c>
      <c r="I883" s="175">
        <v>1.2503015551026329</v>
      </c>
      <c r="J883" s="177">
        <v>0</v>
      </c>
    </row>
    <row r="884" spans="1:10">
      <c r="A884" s="65">
        <v>3567</v>
      </c>
      <c r="B884" s="175">
        <v>0.23</v>
      </c>
      <c r="C884" s="184">
        <v>0.8666666666666667</v>
      </c>
      <c r="D884" s="177">
        <v>34782608.695652172</v>
      </c>
      <c r="E884" s="26"/>
      <c r="F884" s="184">
        <v>-1.9083333333333331E-2</v>
      </c>
      <c r="G884" s="177">
        <v>417391304.34782606</v>
      </c>
      <c r="H884" s="177">
        <v>333596000</v>
      </c>
      <c r="I884" s="175">
        <v>1.251187976917667</v>
      </c>
      <c r="J884" s="177">
        <v>15.050167224080266</v>
      </c>
    </row>
    <row r="885" spans="1:10">
      <c r="A885" s="65">
        <v>3067</v>
      </c>
      <c r="B885" s="175">
        <v>-0.17</v>
      </c>
      <c r="C885" s="184">
        <v>1</v>
      </c>
      <c r="D885" s="177">
        <v>29411764.705882352</v>
      </c>
      <c r="E885" s="26"/>
      <c r="F885" s="184">
        <v>5.3058333333333339E-2</v>
      </c>
      <c r="G885" s="177">
        <v>432352941.17647058</v>
      </c>
      <c r="H885" s="177">
        <v>345209000</v>
      </c>
      <c r="I885" s="175">
        <v>1.2524382075104374</v>
      </c>
      <c r="J885" s="177">
        <v>0</v>
      </c>
    </row>
    <row r="886" spans="1:10">
      <c r="A886" s="65">
        <v>3088</v>
      </c>
      <c r="B886" s="175">
        <v>0.97</v>
      </c>
      <c r="C886" s="184">
        <v>1</v>
      </c>
      <c r="D886" s="177">
        <v>79381443.298969075</v>
      </c>
      <c r="E886" s="26"/>
      <c r="F886" s="184">
        <v>1.6783333333333331E-2</v>
      </c>
      <c r="G886" s="177">
        <v>5604329896.9072161</v>
      </c>
      <c r="H886" s="177">
        <v>4468550000</v>
      </c>
      <c r="I886" s="175">
        <v>1.2541719118969723</v>
      </c>
      <c r="J886" s="177">
        <v>18.195876288659793</v>
      </c>
    </row>
    <row r="887" spans="1:10">
      <c r="A887" s="65">
        <v>8021</v>
      </c>
      <c r="B887" s="175">
        <v>0.48</v>
      </c>
      <c r="C887" s="184">
        <v>1</v>
      </c>
      <c r="D887" s="177">
        <v>160416666.66666669</v>
      </c>
      <c r="E887" s="26"/>
      <c r="F887" s="184">
        <v>4.7166666666666676E-3</v>
      </c>
      <c r="G887" s="177">
        <v>4379375000.000001</v>
      </c>
      <c r="H887" s="177">
        <v>3489186000</v>
      </c>
      <c r="I887" s="175">
        <v>1.2551279868714367</v>
      </c>
      <c r="J887" s="177">
        <v>14.218750000000002</v>
      </c>
    </row>
    <row r="888" spans="1:10">
      <c r="A888" s="65">
        <v>8121</v>
      </c>
      <c r="B888" s="175">
        <v>-0.51</v>
      </c>
      <c r="C888" s="184">
        <v>1</v>
      </c>
      <c r="D888" s="177">
        <v>182352941.17647058</v>
      </c>
      <c r="E888" s="26"/>
      <c r="F888" s="184">
        <v>-9.3666666666666672E-3</v>
      </c>
      <c r="G888" s="177">
        <v>3063529411.7647057</v>
      </c>
      <c r="H888" s="177">
        <v>2438756000</v>
      </c>
      <c r="I888" s="175">
        <v>1.2561852894527807</v>
      </c>
      <c r="J888" s="177">
        <v>0</v>
      </c>
    </row>
    <row r="889" spans="1:10">
      <c r="A889" s="65">
        <v>5364</v>
      </c>
      <c r="B889" s="175">
        <v>-0.77</v>
      </c>
      <c r="C889" s="184">
        <v>0.33333333333333331</v>
      </c>
      <c r="D889" s="177">
        <v>10389610.389610389</v>
      </c>
      <c r="E889" s="26"/>
      <c r="F889" s="184">
        <v>0.12890833333333332</v>
      </c>
      <c r="G889" s="177">
        <v>451948051.94805193</v>
      </c>
      <c r="H889" s="177">
        <v>359740000</v>
      </c>
      <c r="I889" s="175">
        <v>1.2563185966199253</v>
      </c>
      <c r="J889" s="177">
        <v>0</v>
      </c>
    </row>
    <row r="890" spans="1:10">
      <c r="A890" s="65">
        <v>1338</v>
      </c>
      <c r="B890" s="175">
        <v>2.2799999999999998</v>
      </c>
      <c r="C890" s="184">
        <v>0.90348525469168905</v>
      </c>
      <c r="D890" s="177">
        <v>83771929.824561417</v>
      </c>
      <c r="E890" s="26"/>
      <c r="F890" s="184">
        <v>2.3208333333333331E-2</v>
      </c>
      <c r="G890" s="177">
        <v>10345833333.333336</v>
      </c>
      <c r="H890" s="177">
        <v>8230898000</v>
      </c>
      <c r="I890" s="175">
        <v>1.256950740166302</v>
      </c>
      <c r="J890" s="177">
        <v>14.988254203758656</v>
      </c>
    </row>
    <row r="891" spans="1:10">
      <c r="A891" s="65">
        <v>3533</v>
      </c>
      <c r="B891" s="175">
        <v>0.85</v>
      </c>
      <c r="C891" s="184">
        <v>0.63773584905660374</v>
      </c>
      <c r="D891" s="177">
        <v>92941176.470588237</v>
      </c>
      <c r="E891" s="26"/>
      <c r="F891" s="184">
        <v>1.2641666666666667E-2</v>
      </c>
      <c r="G891" s="177">
        <v>10084117647.058825</v>
      </c>
      <c r="H891" s="177">
        <v>8006178000</v>
      </c>
      <c r="I891" s="175">
        <v>1.2595420245538913</v>
      </c>
      <c r="J891" s="177">
        <v>50</v>
      </c>
    </row>
    <row r="892" spans="1:10">
      <c r="A892" s="65">
        <v>2379</v>
      </c>
      <c r="B892" s="175">
        <v>0.72</v>
      </c>
      <c r="C892" s="184">
        <v>0.72423146473779387</v>
      </c>
      <c r="D892" s="177">
        <v>506944444.44444448</v>
      </c>
      <c r="E892" s="26"/>
      <c r="F892" s="184">
        <v>2.3341666666666674E-2</v>
      </c>
      <c r="G892" s="177">
        <v>38679861111.111115</v>
      </c>
      <c r="H892" s="177">
        <v>30548091000</v>
      </c>
      <c r="I892" s="175">
        <v>1.2661956883365024</v>
      </c>
      <c r="J892" s="177">
        <v>36.580923151616034</v>
      </c>
    </row>
    <row r="893" spans="1:10">
      <c r="A893" s="65">
        <v>1434</v>
      </c>
      <c r="B893" s="175">
        <v>0.41</v>
      </c>
      <c r="C893" s="184">
        <v>1</v>
      </c>
      <c r="D893" s="177">
        <v>1675609756.0975611</v>
      </c>
      <c r="E893" s="26"/>
      <c r="F893" s="184">
        <v>-8.6583333333333321E-3</v>
      </c>
      <c r="G893" s="177">
        <v>55295121951.219521</v>
      </c>
      <c r="H893" s="177">
        <v>43637652000</v>
      </c>
      <c r="I893" s="175">
        <v>1.2671424656674819</v>
      </c>
      <c r="J893" s="177">
        <v>20.121951219512198</v>
      </c>
    </row>
    <row r="894" spans="1:10">
      <c r="A894" s="65">
        <v>9924</v>
      </c>
      <c r="B894" s="175">
        <v>0.93</v>
      </c>
      <c r="C894" s="184">
        <v>0.76315789473684215</v>
      </c>
      <c r="D894" s="177">
        <v>189247311.82795697</v>
      </c>
      <c r="E894" s="26"/>
      <c r="F894" s="184">
        <v>2.0791666666666663E-2</v>
      </c>
      <c r="G894" s="177">
        <v>10030107526.88172</v>
      </c>
      <c r="H894" s="177">
        <v>7904099000</v>
      </c>
      <c r="I894" s="175">
        <v>1.2689754426003166</v>
      </c>
      <c r="J894" s="177">
        <v>18.668891360771227</v>
      </c>
    </row>
    <row r="895" spans="1:10">
      <c r="A895" s="65">
        <v>4944</v>
      </c>
      <c r="B895" s="175">
        <v>-0.59</v>
      </c>
      <c r="C895" s="184">
        <v>0.98032786885245904</v>
      </c>
      <c r="D895" s="177">
        <v>208474576.27118644</v>
      </c>
      <c r="E895" s="26"/>
      <c r="F895" s="184">
        <v>-2.9716666666666669E-2</v>
      </c>
      <c r="G895" s="177">
        <v>2845677966.1016951</v>
      </c>
      <c r="H895" s="177">
        <v>2242459000</v>
      </c>
      <c r="I895" s="175">
        <v>1.2689988829680698</v>
      </c>
      <c r="J895" s="177">
        <v>0</v>
      </c>
    </row>
    <row r="896" spans="1:10">
      <c r="A896" s="65">
        <v>4976</v>
      </c>
      <c r="B896" s="175">
        <v>-0.23</v>
      </c>
      <c r="C896" s="184">
        <v>1</v>
      </c>
      <c r="D896" s="177">
        <v>104347826.08695652</v>
      </c>
      <c r="E896" s="26"/>
      <c r="F896" s="184">
        <v>2.463333333333333E-2</v>
      </c>
      <c r="G896" s="177">
        <v>1695652173.9130435</v>
      </c>
      <c r="H896" s="177">
        <v>1335521000</v>
      </c>
      <c r="I896" s="175">
        <v>1.2696559424472125</v>
      </c>
      <c r="J896" s="177">
        <v>0</v>
      </c>
    </row>
    <row r="897" spans="1:11">
      <c r="A897" s="65">
        <v>6419</v>
      </c>
      <c r="B897" s="175">
        <v>0.43</v>
      </c>
      <c r="C897" s="184">
        <v>1</v>
      </c>
      <c r="D897" s="177">
        <v>23255813.953488372</v>
      </c>
      <c r="E897" s="26"/>
      <c r="F897" s="184">
        <v>-6.6666666666666636E-3</v>
      </c>
      <c r="G897" s="177">
        <v>562790697.67441857</v>
      </c>
      <c r="H897" s="177">
        <v>442796000</v>
      </c>
      <c r="I897" s="175">
        <v>1.2709931834849877</v>
      </c>
      <c r="J897" s="177">
        <v>14.069767441860465</v>
      </c>
    </row>
    <row r="898" spans="1:11">
      <c r="A898" s="65">
        <v>1321</v>
      </c>
      <c r="B898" s="175">
        <v>0.11</v>
      </c>
      <c r="C898" s="184">
        <v>0.25925925925925924</v>
      </c>
      <c r="D898" s="177">
        <v>209090909.09090909</v>
      </c>
      <c r="E898" s="26"/>
      <c r="F898" s="184">
        <v>7.4999999999999947E-4</v>
      </c>
      <c r="G898" s="177">
        <v>6042727272.727272</v>
      </c>
      <c r="H898" s="177">
        <v>4744533000</v>
      </c>
      <c r="I898" s="175">
        <v>1.2736189784594758</v>
      </c>
      <c r="J898" s="177">
        <v>50</v>
      </c>
    </row>
    <row r="899" spans="1:11">
      <c r="A899" s="65">
        <v>8042</v>
      </c>
      <c r="B899" s="175">
        <v>0.73</v>
      </c>
      <c r="C899" s="184">
        <v>0.68852459016393441</v>
      </c>
      <c r="D899" s="177">
        <v>105479452.05479452</v>
      </c>
      <c r="E899" s="26"/>
      <c r="F899" s="184">
        <v>1.5650000000000001E-2</v>
      </c>
      <c r="G899" s="177">
        <v>3881643835.6164379</v>
      </c>
      <c r="H899" s="177">
        <v>3045913000</v>
      </c>
      <c r="I899" s="175">
        <v>1.2743777762583626</v>
      </c>
      <c r="J899" s="177">
        <v>18.303979125896934</v>
      </c>
    </row>
    <row r="900" spans="1:11">
      <c r="A900" s="65">
        <v>2642</v>
      </c>
      <c r="B900" s="175">
        <v>0.57999999999999996</v>
      </c>
      <c r="C900" s="184">
        <v>0.52040816326530615</v>
      </c>
      <c r="D900" s="177">
        <v>94827586.206896558</v>
      </c>
      <c r="E900" s="26"/>
      <c r="F900" s="184">
        <v>3.7416666666666653E-3</v>
      </c>
      <c r="G900" s="177">
        <v>3309482758.6206899</v>
      </c>
      <c r="H900" s="177">
        <v>2596689000</v>
      </c>
      <c r="I900" s="175">
        <v>1.2745010121045262</v>
      </c>
      <c r="J900" s="177">
        <v>28.906355645706558</v>
      </c>
    </row>
    <row r="901" spans="1:11">
      <c r="A901" s="65">
        <v>2115</v>
      </c>
      <c r="B901" s="175">
        <v>0.88</v>
      </c>
      <c r="C901" s="184">
        <v>0.93495934959349591</v>
      </c>
      <c r="D901" s="177">
        <v>73863636.36363636</v>
      </c>
      <c r="E901" s="26"/>
      <c r="F901" s="184">
        <v>-5.4833333333333357E-3</v>
      </c>
      <c r="G901" s="177">
        <v>3231534090.9090905</v>
      </c>
      <c r="H901" s="177">
        <v>2533121000</v>
      </c>
      <c r="I901" s="175">
        <v>1.2757124870502003</v>
      </c>
      <c r="J901" s="177">
        <v>13.293601778656127</v>
      </c>
    </row>
    <row r="902" spans="1:11">
      <c r="A902" s="65">
        <v>5403</v>
      </c>
      <c r="B902" s="175">
        <v>0.57999999999999996</v>
      </c>
      <c r="C902" s="184">
        <v>0.91891891891891897</v>
      </c>
      <c r="D902" s="177">
        <v>72413793.103448287</v>
      </c>
      <c r="E902" s="26"/>
      <c r="F902" s="184">
        <v>9.1083333333333311E-3</v>
      </c>
      <c r="G902" s="177">
        <v>1651034482.758621</v>
      </c>
      <c r="H902" s="177">
        <v>1287376000</v>
      </c>
      <c r="I902" s="175">
        <v>1.2824803963710842</v>
      </c>
      <c r="J902" s="177">
        <v>10.6947261663286</v>
      </c>
      <c r="K902" s="32"/>
    </row>
    <row r="903" spans="1:11">
      <c r="A903" s="65">
        <v>1326</v>
      </c>
      <c r="B903" s="175">
        <v>2.09</v>
      </c>
      <c r="C903" s="184">
        <v>0.59390751698444011</v>
      </c>
      <c r="D903" s="177">
        <v>5838277511.9617233</v>
      </c>
      <c r="E903" s="26"/>
      <c r="F903" s="184">
        <v>-6.9250000000000015E-3</v>
      </c>
      <c r="G903" s="177">
        <v>432032535885.16754</v>
      </c>
      <c r="H903" s="177">
        <v>336677419000</v>
      </c>
      <c r="I903" s="175">
        <v>1.2832239749502403</v>
      </c>
      <c r="J903" s="177">
        <v>14.904129663306202</v>
      </c>
    </row>
    <row r="904" spans="1:11">
      <c r="A904" s="65">
        <v>6234</v>
      </c>
      <c r="B904" s="175">
        <v>1.28</v>
      </c>
      <c r="C904" s="184">
        <v>5.6074766355140186E-2</v>
      </c>
      <c r="D904" s="177">
        <v>71093750</v>
      </c>
      <c r="E904" s="26"/>
      <c r="F904" s="184">
        <v>-5.5666666666666677E-3</v>
      </c>
      <c r="G904" s="177">
        <v>1528515625</v>
      </c>
      <c r="H904" s="177">
        <v>1190972000</v>
      </c>
      <c r="I904" s="175">
        <v>1.2834186068186322</v>
      </c>
      <c r="J904" s="177">
        <v>50</v>
      </c>
    </row>
    <row r="905" spans="1:11">
      <c r="A905" s="65">
        <v>4127</v>
      </c>
      <c r="B905" s="175">
        <v>0.35</v>
      </c>
      <c r="C905" s="184">
        <v>1</v>
      </c>
      <c r="D905" s="177">
        <v>45714285.714285716</v>
      </c>
      <c r="E905" s="26"/>
      <c r="F905" s="184">
        <v>-1.983333333333333E-3</v>
      </c>
      <c r="G905" s="177">
        <v>1108571428.5714285</v>
      </c>
      <c r="H905" s="177">
        <v>863103000</v>
      </c>
      <c r="I905" s="175">
        <v>1.2844022423412136</v>
      </c>
      <c r="J905" s="177">
        <v>17.321428571428573</v>
      </c>
    </row>
    <row r="906" spans="1:11">
      <c r="A906" s="65">
        <v>1570</v>
      </c>
      <c r="B906" s="175">
        <v>0.4</v>
      </c>
      <c r="C906" s="184">
        <v>1</v>
      </c>
      <c r="D906" s="177">
        <v>50000000</v>
      </c>
      <c r="E906" s="26"/>
      <c r="F906" s="184">
        <v>4.7224999999999996E-2</v>
      </c>
      <c r="G906" s="177">
        <v>852500000</v>
      </c>
      <c r="H906" s="177">
        <v>661079000</v>
      </c>
      <c r="I906" s="175">
        <v>1.2895584340146942</v>
      </c>
      <c r="J906" s="177">
        <v>10.65625</v>
      </c>
    </row>
    <row r="907" spans="1:11">
      <c r="A907" s="65">
        <v>8050</v>
      </c>
      <c r="B907" s="175">
        <v>0.59</v>
      </c>
      <c r="C907" s="184">
        <v>1</v>
      </c>
      <c r="D907" s="177">
        <v>103389830.50847459</v>
      </c>
      <c r="E907" s="26"/>
      <c r="F907" s="184">
        <v>-7.4833333333333323E-3</v>
      </c>
      <c r="G907" s="177">
        <v>5427966101.6949158</v>
      </c>
      <c r="H907" s="177">
        <v>4206965000</v>
      </c>
      <c r="I907" s="175">
        <v>1.2902332445587059</v>
      </c>
      <c r="J907" s="177">
        <v>22.245762711864408</v>
      </c>
    </row>
    <row r="908" spans="1:11">
      <c r="A908" s="65">
        <v>2207</v>
      </c>
      <c r="B908" s="175">
        <v>4.62</v>
      </c>
      <c r="C908" s="184">
        <v>0.65815395840933966</v>
      </c>
      <c r="D908" s="177">
        <v>546536796.53679657</v>
      </c>
      <c r="E908" s="26"/>
      <c r="F908" s="184">
        <v>1.1299999999999998E-2</v>
      </c>
      <c r="G908" s="177">
        <v>207683982683.9827</v>
      </c>
      <c r="H908" s="177">
        <v>160924518000</v>
      </c>
      <c r="I908" s="175">
        <v>1.290567685180096</v>
      </c>
      <c r="J908" s="177">
        <v>31.243100949309376</v>
      </c>
    </row>
    <row r="909" spans="1:11">
      <c r="A909" s="65">
        <v>1540</v>
      </c>
      <c r="B909" s="175">
        <v>0.1</v>
      </c>
      <c r="C909" s="184">
        <v>1</v>
      </c>
      <c r="D909" s="177">
        <v>80000000</v>
      </c>
      <c r="E909" s="26"/>
      <c r="F909" s="184">
        <v>-3.0100000000000005E-2</v>
      </c>
      <c r="G909" s="177">
        <v>1352000000</v>
      </c>
      <c r="H909" s="177">
        <v>1046712000</v>
      </c>
      <c r="I909" s="175">
        <v>1.291663800548766</v>
      </c>
      <c r="J909" s="177">
        <v>42.249999999999993</v>
      </c>
    </row>
    <row r="910" spans="1:11">
      <c r="A910" s="65">
        <v>1337</v>
      </c>
      <c r="B910" s="175">
        <v>0.13</v>
      </c>
      <c r="C910" s="184">
        <v>0.80392156862745101</v>
      </c>
      <c r="D910" s="177">
        <v>261538461.53846154</v>
      </c>
      <c r="E910" s="26"/>
      <c r="F910" s="184">
        <v>5.7775E-2</v>
      </c>
      <c r="G910" s="177">
        <v>5897692307.6923075</v>
      </c>
      <c r="H910" s="177">
        <v>4534363000</v>
      </c>
      <c r="I910" s="175">
        <v>1.3006661151064234</v>
      </c>
      <c r="J910" s="177">
        <v>50</v>
      </c>
    </row>
    <row r="911" spans="1:11">
      <c r="A911" s="65">
        <v>2448</v>
      </c>
      <c r="B911" s="175">
        <v>-0.11</v>
      </c>
      <c r="C911" s="184">
        <v>0</v>
      </c>
      <c r="D911" s="177">
        <v>1109090909.090909</v>
      </c>
      <c r="E911" s="26"/>
      <c r="F911" s="184">
        <v>7.4833333333333306E-3</v>
      </c>
      <c r="G911" s="177">
        <v>32939999999.999996</v>
      </c>
      <c r="H911" s="177">
        <v>25309707000</v>
      </c>
      <c r="I911" s="175">
        <v>1.3014769392628684</v>
      </c>
      <c r="J911" s="177">
        <v>0</v>
      </c>
    </row>
    <row r="912" spans="1:11">
      <c r="A912" s="65">
        <v>6177</v>
      </c>
      <c r="B912" s="175">
        <v>0.24</v>
      </c>
      <c r="C912" s="184">
        <v>1</v>
      </c>
      <c r="D912" s="177">
        <v>170833333.33333334</v>
      </c>
      <c r="E912" s="26"/>
      <c r="F912" s="184">
        <v>0.26774999999999999</v>
      </c>
      <c r="G912" s="177">
        <v>3630208333.3333335</v>
      </c>
      <c r="H912" s="177">
        <v>2783409000</v>
      </c>
      <c r="I912" s="175">
        <v>1.3042310107258162</v>
      </c>
      <c r="J912" s="177">
        <v>22.135416666666668</v>
      </c>
    </row>
    <row r="913" spans="1:11">
      <c r="A913" s="65">
        <v>8069</v>
      </c>
      <c r="B913" s="175">
        <v>0.09</v>
      </c>
      <c r="C913" s="184">
        <v>1</v>
      </c>
      <c r="D913" s="177">
        <v>1166666666.6666667</v>
      </c>
      <c r="E913" s="26"/>
      <c r="F913" s="184">
        <v>3.0500000000000041E-3</v>
      </c>
      <c r="G913" s="177">
        <v>18900000000</v>
      </c>
      <c r="H913" s="177">
        <v>14486622000</v>
      </c>
      <c r="I913" s="175">
        <v>1.3046519747667882</v>
      </c>
      <c r="J913" s="177">
        <v>45</v>
      </c>
    </row>
    <row r="914" spans="1:11">
      <c r="A914" s="65">
        <v>3588</v>
      </c>
      <c r="B914" s="175">
        <v>0.48</v>
      </c>
      <c r="C914" s="184">
        <v>0.95348837209302328</v>
      </c>
      <c r="D914" s="177">
        <v>45833333.333333336</v>
      </c>
      <c r="E914" s="26"/>
      <c r="F914" s="184">
        <v>4.9666666666666652E-3</v>
      </c>
      <c r="G914" s="177">
        <v>1349791666.6666667</v>
      </c>
      <c r="H914" s="177">
        <v>1030523000</v>
      </c>
      <c r="I914" s="175">
        <v>1.3098122668457344</v>
      </c>
      <c r="J914" s="177">
        <v>16.086763211382113</v>
      </c>
    </row>
    <row r="915" spans="1:11">
      <c r="A915" s="65">
        <v>1580</v>
      </c>
      <c r="B915" s="175">
        <v>2.0299999999999998</v>
      </c>
      <c r="C915" s="184">
        <v>0.97126436781609193</v>
      </c>
      <c r="D915" s="177">
        <v>47290640.394088678</v>
      </c>
      <c r="E915" s="26"/>
      <c r="F915" s="184">
        <v>6.375833333333332E-2</v>
      </c>
      <c r="G915" s="177">
        <v>5485714285.7142868</v>
      </c>
      <c r="H915" s="177">
        <v>4178505000</v>
      </c>
      <c r="I915" s="175">
        <v>1.3128413836322528</v>
      </c>
      <c r="J915" s="177">
        <v>14.708368554522401</v>
      </c>
    </row>
    <row r="916" spans="1:11">
      <c r="A916" s="65">
        <v>3390</v>
      </c>
      <c r="B916" s="175">
        <v>0.06</v>
      </c>
      <c r="C916" s="184">
        <v>1</v>
      </c>
      <c r="D916" s="177">
        <v>66666666.666666672</v>
      </c>
      <c r="E916" s="26"/>
      <c r="F916" s="184">
        <v>-1.3958333333333336E-2</v>
      </c>
      <c r="G916" s="177">
        <v>1133333333.3333335</v>
      </c>
      <c r="H916" s="177">
        <v>859667000</v>
      </c>
      <c r="I916" s="175">
        <v>1.3183399308491934</v>
      </c>
      <c r="J916" s="177">
        <v>50</v>
      </c>
    </row>
    <row r="917" spans="1:11">
      <c r="A917" s="65">
        <v>2327</v>
      </c>
      <c r="B917" s="175">
        <v>1.07</v>
      </c>
      <c r="C917" s="184">
        <v>0.85757392878696437</v>
      </c>
      <c r="D917" s="177">
        <v>676635514.01869154</v>
      </c>
      <c r="E917" s="26"/>
      <c r="F917" s="184">
        <v>1.5141666666666671E-2</v>
      </c>
      <c r="G917" s="177">
        <v>35929345794.392525</v>
      </c>
      <c r="H917" s="177">
        <v>27198248000</v>
      </c>
      <c r="I917" s="175">
        <v>1.3210169197072004</v>
      </c>
      <c r="J917" s="177">
        <v>14.467023354620611</v>
      </c>
    </row>
    <row r="918" spans="1:11">
      <c r="A918" s="65">
        <v>8016</v>
      </c>
      <c r="B918" s="175">
        <v>1.33</v>
      </c>
      <c r="C918" s="184">
        <v>0.99717514124293782</v>
      </c>
      <c r="D918" s="177">
        <v>118796992.481203</v>
      </c>
      <c r="E918" s="26"/>
      <c r="F918" s="184">
        <v>2.7524999999999994E-2</v>
      </c>
      <c r="G918" s="177">
        <v>11844060150.37594</v>
      </c>
      <c r="H918" s="177">
        <v>8948658000</v>
      </c>
      <c r="I918" s="175">
        <v>1.323557135648266</v>
      </c>
      <c r="J918" s="177">
        <v>18.793691026432938</v>
      </c>
    </row>
    <row r="919" spans="1:11">
      <c r="A919" s="65">
        <v>6223</v>
      </c>
      <c r="B919" s="175">
        <v>1.02</v>
      </c>
      <c r="C919" s="184">
        <v>0.9152542372881356</v>
      </c>
      <c r="D919" s="177">
        <v>79411764.705882356</v>
      </c>
      <c r="E919" s="26"/>
      <c r="F919" s="184">
        <v>-7.4583333333333333E-3</v>
      </c>
      <c r="G919" s="177">
        <v>5471470588.2352943</v>
      </c>
      <c r="H919" s="177">
        <v>4128393000</v>
      </c>
      <c r="I919" s="175">
        <v>1.3253269706239921</v>
      </c>
      <c r="J919" s="177">
        <v>18.450889615105304</v>
      </c>
    </row>
    <row r="920" spans="1:11">
      <c r="A920" s="65">
        <v>1708</v>
      </c>
      <c r="B920" s="175">
        <v>1.01</v>
      </c>
      <c r="C920" s="184">
        <v>0.98734177215189878</v>
      </c>
      <c r="D920" s="177">
        <v>182178217.82178217</v>
      </c>
      <c r="E920" s="26"/>
      <c r="F920" s="184">
        <v>6.1916666666666717E-3</v>
      </c>
      <c r="G920" s="177">
        <v>6175841584.1584158</v>
      </c>
      <c r="H920" s="177">
        <v>4654193000</v>
      </c>
      <c r="I920" s="175">
        <v>1.326941444877429</v>
      </c>
      <c r="J920" s="177">
        <v>8.4986671744097482</v>
      </c>
    </row>
    <row r="921" spans="1:11">
      <c r="A921" s="65">
        <v>1726</v>
      </c>
      <c r="B921" s="175">
        <v>1.45</v>
      </c>
      <c r="C921" s="184">
        <v>0.97345132743362828</v>
      </c>
      <c r="D921" s="177">
        <v>162068965.51724139</v>
      </c>
      <c r="E921" s="26"/>
      <c r="F921" s="184">
        <v>-7.033333333333335E-3</v>
      </c>
      <c r="G921" s="177">
        <v>10891034482.758621</v>
      </c>
      <c r="H921" s="177">
        <v>8166188000</v>
      </c>
      <c r="I921" s="175">
        <v>1.3336742287538104</v>
      </c>
      <c r="J921" s="177">
        <v>11.902194357366772</v>
      </c>
    </row>
    <row r="922" spans="1:11">
      <c r="A922" s="65">
        <v>4952</v>
      </c>
      <c r="B922" s="175">
        <v>1.2</v>
      </c>
      <c r="C922" s="184">
        <v>1</v>
      </c>
      <c r="D922" s="177">
        <v>109166666.66666667</v>
      </c>
      <c r="E922" s="26"/>
      <c r="F922" s="184">
        <v>4.8916666666666671E-2</v>
      </c>
      <c r="G922" s="177">
        <v>4077375000.0000005</v>
      </c>
      <c r="H922" s="177">
        <v>3038349000</v>
      </c>
      <c r="I922" s="175">
        <v>1.341970589948686</v>
      </c>
      <c r="J922" s="177">
        <v>7.7812500000000009</v>
      </c>
    </row>
    <row r="923" spans="1:11">
      <c r="A923" s="65">
        <v>2538</v>
      </c>
      <c r="B923" s="175">
        <v>3</v>
      </c>
      <c r="C923" s="184">
        <v>1</v>
      </c>
      <c r="D923" s="177">
        <v>418333333.33333331</v>
      </c>
      <c r="E923" s="26"/>
      <c r="F923" s="184">
        <v>13.697008333333335</v>
      </c>
      <c r="G923" s="177">
        <v>7153500000</v>
      </c>
      <c r="H923" s="177">
        <v>5321759000</v>
      </c>
      <c r="I923" s="175">
        <v>1.3441984125925281</v>
      </c>
      <c r="J923" s="177">
        <v>1.425</v>
      </c>
    </row>
    <row r="924" spans="1:11">
      <c r="A924" s="65">
        <v>2634</v>
      </c>
      <c r="B924" s="175">
        <v>0.49</v>
      </c>
      <c r="C924" s="184">
        <v>1</v>
      </c>
      <c r="D924" s="177">
        <v>908163265.30612242</v>
      </c>
      <c r="E924" s="26"/>
      <c r="F924" s="184">
        <v>4.5041666666666667E-2</v>
      </c>
      <c r="G924" s="177">
        <v>37825000000</v>
      </c>
      <c r="H924" s="177">
        <v>28020347000</v>
      </c>
      <c r="I924" s="175">
        <v>1.3499119050881132</v>
      </c>
      <c r="J924" s="177">
        <v>21.25</v>
      </c>
    </row>
    <row r="925" spans="1:11">
      <c r="A925" s="174">
        <v>1101</v>
      </c>
      <c r="B925" s="180">
        <v>0.61</v>
      </c>
      <c r="C925" s="184">
        <v>0.96690694626474438</v>
      </c>
      <c r="D925" s="181">
        <v>3677049180.3278689</v>
      </c>
      <c r="E925" s="179"/>
      <c r="F925" s="184">
        <v>-1.5333333333333275E-3</v>
      </c>
      <c r="G925" s="181">
        <v>133476885245.90163</v>
      </c>
      <c r="H925" s="181">
        <v>98759428000</v>
      </c>
      <c r="I925" s="180">
        <v>1.3515356249927006</v>
      </c>
      <c r="J925" s="181">
        <v>15.386226397275722</v>
      </c>
    </row>
    <row r="926" spans="1:11">
      <c r="A926" s="65">
        <v>2106</v>
      </c>
      <c r="B926" s="175">
        <v>1.03</v>
      </c>
      <c r="C926" s="184">
        <v>1</v>
      </c>
      <c r="D926" s="177">
        <v>819417475.72815537</v>
      </c>
      <c r="E926" s="26"/>
      <c r="F926" s="184">
        <v>1.049166666666667E-2</v>
      </c>
      <c r="G926" s="177">
        <v>43183300970.873787</v>
      </c>
      <c r="H926" s="177">
        <v>31880558000</v>
      </c>
      <c r="I926" s="175">
        <v>1.3545340382961235</v>
      </c>
      <c r="J926" s="177">
        <v>12.791262135922331</v>
      </c>
    </row>
    <row r="927" spans="1:11">
      <c r="A927" s="65">
        <v>3617</v>
      </c>
      <c r="B927" s="175">
        <v>1.55</v>
      </c>
      <c r="C927" s="184">
        <v>1</v>
      </c>
      <c r="D927" s="177">
        <v>80645161.290322572</v>
      </c>
      <c r="E927" s="26"/>
      <c r="F927" s="184">
        <v>4.5574999999999997E-2</v>
      </c>
      <c r="G927" s="177">
        <v>8145161290.3225794</v>
      </c>
      <c r="H927" s="177">
        <v>6000126000</v>
      </c>
      <c r="I927" s="175">
        <v>1.3574983742545705</v>
      </c>
      <c r="J927" s="177">
        <v>16.29032258064516</v>
      </c>
    </row>
    <row r="928" spans="1:11">
      <c r="A928" s="65">
        <v>4909</v>
      </c>
      <c r="B928" s="175">
        <v>0.28000000000000003</v>
      </c>
      <c r="C928" s="184">
        <v>1</v>
      </c>
      <c r="D928" s="177">
        <v>92857142.857142851</v>
      </c>
      <c r="E928" s="26"/>
      <c r="F928" s="184">
        <v>2.8058333333333334E-2</v>
      </c>
      <c r="G928" s="177">
        <v>2103214285.7142854</v>
      </c>
      <c r="H928" s="177">
        <v>1544310000</v>
      </c>
      <c r="I928" s="175">
        <v>1.3619119773324562</v>
      </c>
      <c r="J928" s="177">
        <v>20.223214285714281</v>
      </c>
      <c r="K928" s="32"/>
    </row>
    <row r="929" spans="1:11">
      <c r="A929" s="65">
        <v>6186</v>
      </c>
      <c r="B929" s="175">
        <v>0.25</v>
      </c>
      <c r="C929" s="184">
        <v>0.96039603960396036</v>
      </c>
      <c r="D929" s="177">
        <v>64000000</v>
      </c>
      <c r="E929" s="26"/>
      <c r="F929" s="184">
        <v>-0.10608333333333332</v>
      </c>
      <c r="G929" s="177">
        <v>1510400000</v>
      </c>
      <c r="H929" s="177">
        <v>1107860000</v>
      </c>
      <c r="I929" s="175">
        <v>1.3633491596411098</v>
      </c>
      <c r="J929" s="177">
        <v>24.573195876288661</v>
      </c>
    </row>
    <row r="930" spans="1:11">
      <c r="A930" s="65">
        <v>3189</v>
      </c>
      <c r="B930" s="175">
        <v>1.73</v>
      </c>
      <c r="C930" s="184">
        <v>0.91680532445923457</v>
      </c>
      <c r="D930" s="177">
        <v>445664739.8843931</v>
      </c>
      <c r="E930" s="26"/>
      <c r="F930" s="184">
        <v>1.4825000000000003E-2</v>
      </c>
      <c r="G930" s="177">
        <v>30706300578.034687</v>
      </c>
      <c r="H930" s="177">
        <v>22494766000</v>
      </c>
      <c r="I930" s="175">
        <v>1.3650420092404911</v>
      </c>
      <c r="J930" s="177">
        <v>10.860154422332492</v>
      </c>
    </row>
    <row r="931" spans="1:11">
      <c r="A931" s="65">
        <v>6239</v>
      </c>
      <c r="B931" s="175">
        <v>1.2</v>
      </c>
      <c r="C931" s="184">
        <v>1</v>
      </c>
      <c r="D931" s="177">
        <v>772500000</v>
      </c>
      <c r="E931" s="26"/>
      <c r="F931" s="184">
        <v>1.5324999999999997E-2</v>
      </c>
      <c r="G931" s="177">
        <v>55774500000</v>
      </c>
      <c r="H931" s="177">
        <v>40821571000</v>
      </c>
      <c r="I931" s="175">
        <v>1.3662996948353605</v>
      </c>
      <c r="J931" s="177">
        <v>15.041666666666668</v>
      </c>
    </row>
    <row r="932" spans="1:11">
      <c r="A932" s="65">
        <v>2483</v>
      </c>
      <c r="B932" s="175">
        <v>0.71</v>
      </c>
      <c r="C932" s="184">
        <v>0.41176470588235292</v>
      </c>
      <c r="D932" s="177">
        <v>111267605.63380282</v>
      </c>
      <c r="E932" s="26"/>
      <c r="F932" s="184">
        <v>9.883333333333336E-3</v>
      </c>
      <c r="G932" s="177">
        <v>2108521126.7605634</v>
      </c>
      <c r="H932" s="177">
        <v>1542611000</v>
      </c>
      <c r="I932" s="175">
        <v>1.366852127179544</v>
      </c>
      <c r="J932" s="177">
        <v>16.204728370221329</v>
      </c>
    </row>
    <row r="933" spans="1:11">
      <c r="A933" s="65">
        <v>3163</v>
      </c>
      <c r="B933" s="175">
        <v>0.05</v>
      </c>
      <c r="C933" s="184">
        <v>0.8</v>
      </c>
      <c r="D933" s="177">
        <v>80000000</v>
      </c>
      <c r="E933" s="26"/>
      <c r="F933" s="184">
        <v>3.0825000000000005E-2</v>
      </c>
      <c r="G933" s="177">
        <v>3120000000</v>
      </c>
      <c r="H933" s="177">
        <v>2271189000</v>
      </c>
      <c r="I933" s="175">
        <v>1.3737297952746337</v>
      </c>
      <c r="J933" s="177">
        <v>50</v>
      </c>
    </row>
    <row r="934" spans="1:11">
      <c r="A934" s="65">
        <v>1742</v>
      </c>
      <c r="B934" s="175">
        <v>-0.36</v>
      </c>
      <c r="C934" s="184">
        <v>1</v>
      </c>
      <c r="D934" s="177">
        <v>63888888.888888888</v>
      </c>
      <c r="E934" s="26"/>
      <c r="F934" s="184">
        <v>5.932500000000001E-2</v>
      </c>
      <c r="G934" s="177">
        <v>951944444.44444442</v>
      </c>
      <c r="H934" s="177">
        <v>692889000</v>
      </c>
      <c r="I934" s="175">
        <v>1.373877265253806</v>
      </c>
      <c r="J934" s="177">
        <v>0</v>
      </c>
    </row>
    <row r="935" spans="1:11">
      <c r="A935" s="65">
        <v>3672</v>
      </c>
      <c r="B935" s="175">
        <v>0.77</v>
      </c>
      <c r="C935" s="184">
        <v>1</v>
      </c>
      <c r="D935" s="177">
        <v>28571428.571428571</v>
      </c>
      <c r="E935" s="26"/>
      <c r="F935" s="184">
        <v>4.0158333333333324E-2</v>
      </c>
      <c r="G935" s="177">
        <v>1137142857.1428571</v>
      </c>
      <c r="H935" s="177">
        <v>823725000</v>
      </c>
      <c r="I935" s="175">
        <v>1.3804884605212384</v>
      </c>
      <c r="J935" s="177">
        <v>12.922077922077921</v>
      </c>
    </row>
    <row r="936" spans="1:11">
      <c r="A936" s="65">
        <v>1731</v>
      </c>
      <c r="B936" s="175">
        <v>0.09</v>
      </c>
      <c r="C936" s="184">
        <v>1</v>
      </c>
      <c r="D936" s="177">
        <v>133333333.33333334</v>
      </c>
      <c r="E936" s="26"/>
      <c r="F936" s="184">
        <v>1.3716666666666663E-2</v>
      </c>
      <c r="G936" s="177">
        <v>1853333333.3333335</v>
      </c>
      <c r="H936" s="177">
        <v>1341776000</v>
      </c>
      <c r="I936" s="175">
        <v>1.3812539003032798</v>
      </c>
      <c r="J936" s="177">
        <v>38.611111111111114</v>
      </c>
    </row>
    <row r="937" spans="1:11">
      <c r="A937" s="65">
        <v>6174</v>
      </c>
      <c r="B937" s="175">
        <v>0.35</v>
      </c>
      <c r="C937" s="184">
        <v>1</v>
      </c>
      <c r="D937" s="177">
        <v>48571428.571428575</v>
      </c>
      <c r="E937" s="26"/>
      <c r="F937" s="184">
        <v>1.3591666666666663E-2</v>
      </c>
      <c r="G937" s="177">
        <v>748000000.00000012</v>
      </c>
      <c r="H937" s="177">
        <v>541196000</v>
      </c>
      <c r="I937" s="175">
        <v>1.3821240363934695</v>
      </c>
      <c r="J937" s="177">
        <v>11.000000000000002</v>
      </c>
    </row>
    <row r="938" spans="1:11">
      <c r="A938" s="65">
        <v>3060</v>
      </c>
      <c r="B938" s="175">
        <v>0.55000000000000004</v>
      </c>
      <c r="C938" s="184">
        <v>0.48076923076923078</v>
      </c>
      <c r="D938" s="177">
        <v>172727272.72727272</v>
      </c>
      <c r="E938" s="26"/>
      <c r="F938" s="184">
        <v>3.4683333333333337E-2</v>
      </c>
      <c r="G938" s="177">
        <v>10933636363.636362</v>
      </c>
      <c r="H938" s="177">
        <v>7904206000</v>
      </c>
      <c r="I938" s="175">
        <v>1.3832681440281747</v>
      </c>
      <c r="J938" s="177">
        <v>50</v>
      </c>
    </row>
    <row r="939" spans="1:11">
      <c r="A939" s="65">
        <v>4303</v>
      </c>
      <c r="B939" s="175">
        <v>0.27</v>
      </c>
      <c r="C939" s="184">
        <v>1</v>
      </c>
      <c r="D939" s="177">
        <v>70370370.370370373</v>
      </c>
      <c r="E939" s="26"/>
      <c r="F939" s="184">
        <v>5.1224999999999993E-2</v>
      </c>
      <c r="G939" s="177">
        <v>897222222.22222221</v>
      </c>
      <c r="H939" s="177">
        <v>648220000</v>
      </c>
      <c r="I939" s="175">
        <v>1.3841322733365558</v>
      </c>
      <c r="J939" s="177">
        <v>11.805555555555555</v>
      </c>
    </row>
    <row r="940" spans="1:11">
      <c r="A940" s="65">
        <v>6179</v>
      </c>
      <c r="B940" s="175">
        <v>0.91</v>
      </c>
      <c r="C940" s="184">
        <v>0.98245614035087714</v>
      </c>
      <c r="D940" s="177">
        <v>50549450.549450547</v>
      </c>
      <c r="E940" s="26"/>
      <c r="F940" s="184">
        <v>6.3466666666666685E-2</v>
      </c>
      <c r="G940" s="177">
        <v>1946153846.153846</v>
      </c>
      <c r="H940" s="177">
        <v>1402615000</v>
      </c>
      <c r="I940" s="175">
        <v>1.3875182043211045</v>
      </c>
      <c r="J940" s="177">
        <v>10.765796703296704</v>
      </c>
    </row>
    <row r="941" spans="1:11">
      <c r="A941" s="65">
        <v>3041</v>
      </c>
      <c r="B941" s="175">
        <v>-0.46</v>
      </c>
      <c r="C941" s="184">
        <v>1</v>
      </c>
      <c r="D941" s="177">
        <v>293478260.86956519</v>
      </c>
      <c r="E941" s="26"/>
      <c r="F941" s="184">
        <v>-6.8833333333333316E-3</v>
      </c>
      <c r="G941" s="177">
        <v>5062499999.999999</v>
      </c>
      <c r="H941" s="177">
        <v>3647331000</v>
      </c>
      <c r="I941" s="175">
        <v>1.388001253519354</v>
      </c>
      <c r="J941" s="177">
        <v>0</v>
      </c>
    </row>
    <row r="942" spans="1:11">
      <c r="A942" s="65">
        <v>3288</v>
      </c>
      <c r="B942" s="175">
        <v>-0.54</v>
      </c>
      <c r="C942" s="184">
        <v>0.88372093023255816</v>
      </c>
      <c r="D942" s="177">
        <v>48148148.148148142</v>
      </c>
      <c r="E942" s="26"/>
      <c r="F942" s="184">
        <v>5.0474999999999999E-2</v>
      </c>
      <c r="G942" s="177">
        <v>403481481.48148149</v>
      </c>
      <c r="H942" s="177">
        <v>290625000</v>
      </c>
      <c r="I942" s="175">
        <v>1.3883233771405814</v>
      </c>
      <c r="J942" s="177">
        <v>0</v>
      </c>
      <c r="K942" s="32"/>
    </row>
    <row r="943" spans="1:11">
      <c r="A943" s="65">
        <v>2485</v>
      </c>
      <c r="B943" s="175">
        <v>0.36</v>
      </c>
      <c r="C943" s="184">
        <v>1</v>
      </c>
      <c r="D943" s="177">
        <v>322222222.22222221</v>
      </c>
      <c r="E943" s="26"/>
      <c r="F943" s="184">
        <v>2.5208333333333336E-2</v>
      </c>
      <c r="G943" s="177">
        <v>13839444444.444445</v>
      </c>
      <c r="H943" s="177">
        <v>9962481000</v>
      </c>
      <c r="I943" s="175">
        <v>1.3891564204182116</v>
      </c>
      <c r="J943" s="177">
        <v>29.826388888888893</v>
      </c>
    </row>
    <row r="944" spans="1:11">
      <c r="A944" s="65">
        <v>1614</v>
      </c>
      <c r="B944" s="175">
        <v>0.42</v>
      </c>
      <c r="C944" s="184">
        <v>0.7350427350427351</v>
      </c>
      <c r="D944" s="177">
        <v>261904761.90476191</v>
      </c>
      <c r="E944" s="26"/>
      <c r="F944" s="184">
        <v>2.5308333333333335E-2</v>
      </c>
      <c r="G944" s="177">
        <v>7071428571.4285717</v>
      </c>
      <c r="H944" s="177">
        <v>5084154000</v>
      </c>
      <c r="I944" s="175">
        <v>1.3908761558813072</v>
      </c>
      <c r="J944" s="177">
        <v>21.864617940199334</v>
      </c>
    </row>
    <row r="945" spans="1:10">
      <c r="A945" s="65">
        <v>4506</v>
      </c>
      <c r="B945" s="175">
        <v>0.76</v>
      </c>
      <c r="C945" s="184">
        <v>0.93286219081272082</v>
      </c>
      <c r="D945" s="177">
        <v>197368421.05263159</v>
      </c>
      <c r="E945" s="26"/>
      <c r="F945" s="184">
        <v>0.12227500000000002</v>
      </c>
      <c r="G945" s="177">
        <v>6394736842.1052628</v>
      </c>
      <c r="H945" s="177">
        <v>4596934000</v>
      </c>
      <c r="I945" s="175">
        <v>1.3910873730415234</v>
      </c>
      <c r="J945" s="177">
        <v>11.424940191387559</v>
      </c>
    </row>
    <row r="946" spans="1:10">
      <c r="A946" s="65">
        <v>4138</v>
      </c>
      <c r="B946" s="175">
        <v>1.2</v>
      </c>
      <c r="C946" s="184">
        <v>1</v>
      </c>
      <c r="D946" s="177">
        <v>30000000</v>
      </c>
      <c r="E946" s="26"/>
      <c r="F946" s="184">
        <v>1.8475000000000002E-2</v>
      </c>
      <c r="G946" s="177">
        <v>1827000000</v>
      </c>
      <c r="H946" s="177">
        <v>1309655000</v>
      </c>
      <c r="I946" s="175">
        <v>1.3950238803348973</v>
      </c>
      <c r="J946" s="177">
        <v>12.6875</v>
      </c>
    </row>
    <row r="947" spans="1:10">
      <c r="A947" s="65">
        <v>5201</v>
      </c>
      <c r="B947" s="175">
        <v>-0.11</v>
      </c>
      <c r="C947" s="184">
        <v>0.42857142857142855</v>
      </c>
      <c r="D947" s="177">
        <v>27272727.272727273</v>
      </c>
      <c r="E947" s="26"/>
      <c r="F947" s="184">
        <v>4.1841666666666666E-2</v>
      </c>
      <c r="G947" s="177">
        <v>357272727.27272725</v>
      </c>
      <c r="H947" s="177">
        <v>255866000</v>
      </c>
      <c r="I947" s="175">
        <v>1.396327481074966</v>
      </c>
      <c r="J947" s="177">
        <v>0</v>
      </c>
    </row>
    <row r="948" spans="1:10">
      <c r="A948" s="65">
        <v>1593</v>
      </c>
      <c r="B948" s="175">
        <v>0.2</v>
      </c>
      <c r="C948" s="184">
        <v>1</v>
      </c>
      <c r="D948" s="177">
        <v>30000000</v>
      </c>
      <c r="E948" s="26"/>
      <c r="F948" s="184">
        <v>4.0141666666666666E-2</v>
      </c>
      <c r="G948" s="177">
        <v>1200000000</v>
      </c>
      <c r="H948" s="177">
        <v>858343000</v>
      </c>
      <c r="I948" s="175">
        <v>1.3980425074824401</v>
      </c>
      <c r="J948" s="177">
        <v>50</v>
      </c>
    </row>
    <row r="949" spans="1:10">
      <c r="A949" s="65">
        <v>8087</v>
      </c>
      <c r="B949" s="175">
        <v>-0.04</v>
      </c>
      <c r="C949" s="184">
        <v>0.83333333333333337</v>
      </c>
      <c r="D949" s="177">
        <v>25000000</v>
      </c>
      <c r="E949" s="26"/>
      <c r="F949" s="184">
        <v>4.9741666666666656E-2</v>
      </c>
      <c r="G949" s="177">
        <v>206999999.99999997</v>
      </c>
      <c r="H949" s="177">
        <v>148022000</v>
      </c>
      <c r="I949" s="175">
        <v>1.3984407723176282</v>
      </c>
      <c r="J949" s="177">
        <v>0</v>
      </c>
    </row>
    <row r="950" spans="1:10">
      <c r="A950" s="65">
        <v>1307</v>
      </c>
      <c r="B950" s="175">
        <v>0.56999999999999995</v>
      </c>
      <c r="C950" s="184">
        <v>1</v>
      </c>
      <c r="D950" s="177">
        <v>385964912.28070182</v>
      </c>
      <c r="E950" s="26"/>
      <c r="F950" s="184">
        <v>2.1658333333333338E-2</v>
      </c>
      <c r="G950" s="177">
        <v>15863157894.736845</v>
      </c>
      <c r="H950" s="177">
        <v>11332307000</v>
      </c>
      <c r="I950" s="175">
        <v>1.3998171682726954</v>
      </c>
      <c r="J950" s="177">
        <v>18.026315789473685</v>
      </c>
    </row>
    <row r="951" spans="1:10">
      <c r="A951" s="65">
        <v>2723</v>
      </c>
      <c r="B951" s="175">
        <v>1.32</v>
      </c>
      <c r="C951" s="184">
        <v>1</v>
      </c>
      <c r="D951" s="177">
        <v>140909090.90909091</v>
      </c>
      <c r="E951" s="26"/>
      <c r="F951" s="184">
        <v>2.3783333333333333E-2</v>
      </c>
      <c r="G951" s="177">
        <v>27829545454.545452</v>
      </c>
      <c r="H951" s="177">
        <v>19857467000</v>
      </c>
      <c r="I951" s="175">
        <v>1.4014650234365467</v>
      </c>
      <c r="J951" s="177">
        <v>37.405303030303031</v>
      </c>
    </row>
    <row r="952" spans="1:10">
      <c r="A952" s="65">
        <v>5289</v>
      </c>
      <c r="B952" s="175">
        <v>1.91</v>
      </c>
      <c r="C952" s="184">
        <v>1</v>
      </c>
      <c r="D952" s="177">
        <v>59162303.66492147</v>
      </c>
      <c r="E952" s="26"/>
      <c r="F952" s="184">
        <v>1.6316666666666656E-2</v>
      </c>
      <c r="G952" s="177">
        <v>5975392670.1570683</v>
      </c>
      <c r="H952" s="177">
        <v>4235573000</v>
      </c>
      <c r="I952" s="175">
        <v>1.4107637078046036</v>
      </c>
      <c r="J952" s="177">
        <v>13.219895287958115</v>
      </c>
    </row>
    <row r="953" spans="1:10">
      <c r="A953" s="65">
        <v>6101</v>
      </c>
      <c r="B953" s="175">
        <v>-0.83</v>
      </c>
      <c r="C953" s="184">
        <v>0.94623655913978499</v>
      </c>
      <c r="D953" s="177">
        <v>59036144.578313254</v>
      </c>
      <c r="E953" s="26"/>
      <c r="F953" s="184">
        <v>-4.064166666666668E-2</v>
      </c>
      <c r="G953" s="177">
        <v>929819277.10843372</v>
      </c>
      <c r="H953" s="177">
        <v>658945000</v>
      </c>
      <c r="I953" s="175">
        <v>1.4110726648027281</v>
      </c>
      <c r="J953" s="177">
        <v>0</v>
      </c>
    </row>
    <row r="954" spans="1:10">
      <c r="A954" s="65">
        <v>3551</v>
      </c>
      <c r="B954" s="175">
        <v>1.04</v>
      </c>
      <c r="C954" s="184">
        <v>0.8936170212765957</v>
      </c>
      <c r="D954" s="177">
        <v>57692307.692307688</v>
      </c>
      <c r="E954" s="26"/>
      <c r="F954" s="184">
        <v>-1.7349999999999997E-2</v>
      </c>
      <c r="G954" s="177">
        <v>2016346153.846154</v>
      </c>
      <c r="H954" s="177">
        <v>1428754000</v>
      </c>
      <c r="I954" s="175">
        <v>1.4112619484153004</v>
      </c>
      <c r="J954" s="177">
        <v>9.4016140109890127</v>
      </c>
    </row>
    <row r="955" spans="1:10">
      <c r="A955" s="65">
        <v>3653</v>
      </c>
      <c r="B955" s="175">
        <v>0.55000000000000004</v>
      </c>
      <c r="C955" s="184">
        <v>1</v>
      </c>
      <c r="D955" s="177">
        <v>105454545.45454545</v>
      </c>
      <c r="E955" s="26"/>
      <c r="F955" s="184">
        <v>-1.1816666666666665E-2</v>
      </c>
      <c r="G955" s="177">
        <v>4798181818.181818</v>
      </c>
      <c r="H955" s="177">
        <v>3398271000</v>
      </c>
      <c r="I955" s="175">
        <v>1.4119479635914316</v>
      </c>
      <c r="J955" s="177">
        <v>20.68181818181818</v>
      </c>
    </row>
    <row r="956" spans="1:10">
      <c r="A956" s="65">
        <v>8033</v>
      </c>
      <c r="B956" s="175">
        <v>0.2</v>
      </c>
      <c r="C956" s="184">
        <v>1</v>
      </c>
      <c r="D956" s="177">
        <v>130000000</v>
      </c>
      <c r="E956" s="26"/>
      <c r="F956" s="184">
        <v>-1.4433333333333333E-2</v>
      </c>
      <c r="G956" s="177">
        <v>1365000000</v>
      </c>
      <c r="H956" s="177">
        <v>965598000</v>
      </c>
      <c r="I956" s="175">
        <v>1.4136317598006625</v>
      </c>
      <c r="J956" s="177">
        <v>13.125</v>
      </c>
    </row>
    <row r="957" spans="1:10">
      <c r="A957" s="65">
        <v>8074</v>
      </c>
      <c r="B957" s="175">
        <v>0.55000000000000004</v>
      </c>
      <c r="C957" s="184">
        <v>1</v>
      </c>
      <c r="D957" s="177">
        <v>63636363.636363633</v>
      </c>
      <c r="E957" s="26"/>
      <c r="F957" s="184">
        <v>-5.1416666666666685E-3</v>
      </c>
      <c r="G957" s="177">
        <v>1676818181.8181818</v>
      </c>
      <c r="H957" s="177">
        <v>1185196000</v>
      </c>
      <c r="I957" s="175">
        <v>1.4148024308369094</v>
      </c>
      <c r="J957" s="177">
        <v>11.977272727272727</v>
      </c>
    </row>
    <row r="958" spans="1:10">
      <c r="A958" s="65">
        <v>1472</v>
      </c>
      <c r="B958" s="175">
        <v>0.33</v>
      </c>
      <c r="C958" s="184">
        <v>0</v>
      </c>
      <c r="D958" s="177">
        <v>72727272.727272719</v>
      </c>
      <c r="E958" s="26"/>
      <c r="F958" s="184">
        <v>-1.0325000000000001E-2</v>
      </c>
      <c r="G958" s="177">
        <v>1072727272.7272726</v>
      </c>
      <c r="H958" s="177">
        <v>758175000</v>
      </c>
      <c r="I958" s="175">
        <v>1.414880829264052</v>
      </c>
      <c r="J958" s="177">
        <v>0</v>
      </c>
    </row>
    <row r="959" spans="1:10">
      <c r="A959" s="65">
        <v>6204</v>
      </c>
      <c r="B959" s="175">
        <v>0.43</v>
      </c>
      <c r="C959" s="184">
        <v>0.68421052631578949</v>
      </c>
      <c r="D959" s="177">
        <v>37209302.325581394</v>
      </c>
      <c r="E959" s="26"/>
      <c r="F959" s="184">
        <v>3.241666666666667E-2</v>
      </c>
      <c r="G959" s="177">
        <v>859534883.72093022</v>
      </c>
      <c r="H959" s="177">
        <v>607035000</v>
      </c>
      <c r="I959" s="175">
        <v>1.4159560547924424</v>
      </c>
      <c r="J959" s="177">
        <v>19.628801431127012</v>
      </c>
    </row>
    <row r="960" spans="1:10">
      <c r="A960" s="65">
        <v>6203</v>
      </c>
      <c r="B960" s="175">
        <v>0.23</v>
      </c>
      <c r="C960" s="184">
        <v>1</v>
      </c>
      <c r="D960" s="177">
        <v>78260869.565217391</v>
      </c>
      <c r="E960" s="26"/>
      <c r="F960" s="184">
        <v>-2.7416666666666696E-3</v>
      </c>
      <c r="G960" s="177">
        <v>2504347826.0869565</v>
      </c>
      <c r="H960" s="177">
        <v>1765431000</v>
      </c>
      <c r="I960" s="175">
        <v>1.4185475535928374</v>
      </c>
      <c r="J960" s="177">
        <v>34.782608695652172</v>
      </c>
    </row>
    <row r="961" spans="1:10">
      <c r="A961" s="65">
        <v>1558</v>
      </c>
      <c r="B961" s="175">
        <v>3.2</v>
      </c>
      <c r="C961" s="184">
        <v>1</v>
      </c>
      <c r="D961" s="177">
        <v>60312500</v>
      </c>
      <c r="E961" s="26"/>
      <c r="F961" s="184">
        <v>1.3033333333333329E-2</v>
      </c>
      <c r="G961" s="177">
        <v>8775468750</v>
      </c>
      <c r="H961" s="177">
        <v>6181173000</v>
      </c>
      <c r="I961" s="175">
        <v>1.4197092930419517</v>
      </c>
      <c r="J961" s="177">
        <v>11.3671875</v>
      </c>
    </row>
    <row r="962" spans="1:10">
      <c r="A962" s="65">
        <v>8299</v>
      </c>
      <c r="B962" s="175">
        <v>4.63</v>
      </c>
      <c r="C962" s="184">
        <v>1</v>
      </c>
      <c r="D962" s="177">
        <v>197408207.34341252</v>
      </c>
      <c r="E962" s="26"/>
      <c r="F962" s="184">
        <v>2.850833333333333E-2</v>
      </c>
      <c r="G962" s="177">
        <v>52017062634.989197</v>
      </c>
      <c r="H962" s="177">
        <v>36634847000</v>
      </c>
      <c r="I962" s="175">
        <v>1.419879346977734</v>
      </c>
      <c r="J962" s="177">
        <v>14.227861771058315</v>
      </c>
    </row>
    <row r="963" spans="1:10">
      <c r="A963" s="65">
        <v>2641</v>
      </c>
      <c r="B963" s="175">
        <v>0.1</v>
      </c>
      <c r="C963" s="184">
        <v>1</v>
      </c>
      <c r="D963" s="177">
        <v>120000000</v>
      </c>
      <c r="E963" s="26"/>
      <c r="F963" s="184">
        <v>2.2150000000000003E-2</v>
      </c>
      <c r="G963" s="177">
        <v>1084800000</v>
      </c>
      <c r="H963" s="177">
        <v>759191000</v>
      </c>
      <c r="I963" s="175">
        <v>1.4288894362551716</v>
      </c>
      <c r="J963" s="177">
        <v>22.599999999999998</v>
      </c>
    </row>
    <row r="964" spans="1:10">
      <c r="A964" s="65">
        <v>8044</v>
      </c>
      <c r="B964" s="175">
        <v>1.82</v>
      </c>
      <c r="C964" s="184">
        <v>0.98378378378378384</v>
      </c>
      <c r="D964" s="177">
        <v>86813186.813186809</v>
      </c>
      <c r="E964" s="26"/>
      <c r="F964" s="184">
        <v>1.0683333333333335E-2</v>
      </c>
      <c r="G964" s="177">
        <v>31817032967.032967</v>
      </c>
      <c r="H964" s="177">
        <v>22199506000</v>
      </c>
      <c r="I964" s="175">
        <v>1.4332315758302445</v>
      </c>
      <c r="J964" s="177">
        <v>50</v>
      </c>
    </row>
    <row r="965" spans="1:10">
      <c r="A965" s="65">
        <v>4984</v>
      </c>
      <c r="B965" s="175">
        <v>0.42</v>
      </c>
      <c r="C965" s="184">
        <v>0.66666666666666663</v>
      </c>
      <c r="D965" s="177">
        <v>45238095.238095239</v>
      </c>
      <c r="E965" s="26"/>
      <c r="F965" s="184">
        <v>3.1083333333333334E-2</v>
      </c>
      <c r="G965" s="177">
        <v>1728095238.0952382</v>
      </c>
      <c r="H965" s="177">
        <v>1198763000</v>
      </c>
      <c r="I965" s="175">
        <v>1.4415653787239331</v>
      </c>
      <c r="J965" s="177">
        <v>34.107142857142861</v>
      </c>
    </row>
    <row r="966" spans="1:10">
      <c r="A966" s="65">
        <v>3034</v>
      </c>
      <c r="B966" s="175">
        <v>2.44</v>
      </c>
      <c r="C966" s="184">
        <v>0.97864992150706431</v>
      </c>
      <c r="D966" s="177">
        <v>608606557.37704921</v>
      </c>
      <c r="E966" s="26"/>
      <c r="F966" s="184">
        <v>-1.4166666666666666E-2</v>
      </c>
      <c r="G966" s="177">
        <v>75467213114.754105</v>
      </c>
      <c r="H966" s="177">
        <v>52348337000</v>
      </c>
      <c r="I966" s="175">
        <v>1.4416353496531151</v>
      </c>
      <c r="J966" s="177">
        <v>12.982086600714224</v>
      </c>
    </row>
    <row r="967" spans="1:10">
      <c r="A967" s="65">
        <v>2456</v>
      </c>
      <c r="B967" s="175">
        <v>1.06</v>
      </c>
      <c r="C967" s="184">
        <v>0.93818181818181823</v>
      </c>
      <c r="D967" s="177">
        <v>126415094.33962263</v>
      </c>
      <c r="E967" s="26"/>
      <c r="F967" s="184">
        <v>2.4233333333333339E-2</v>
      </c>
      <c r="G967" s="177">
        <v>6737924528.3018856</v>
      </c>
      <c r="H967" s="177">
        <v>4672493000</v>
      </c>
      <c r="I967" s="175">
        <v>1.4420405826829243</v>
      </c>
      <c r="J967" s="177">
        <v>13.399060260348104</v>
      </c>
    </row>
    <row r="968" spans="1:10">
      <c r="A968" s="65">
        <v>8923</v>
      </c>
      <c r="B968" s="175">
        <v>0.09</v>
      </c>
      <c r="C968" s="184">
        <v>0.45454545454545453</v>
      </c>
      <c r="D968" s="177">
        <v>33333333.333333336</v>
      </c>
      <c r="E968" s="26"/>
      <c r="F968" s="184">
        <v>4.649166666666666E-2</v>
      </c>
      <c r="G968" s="177">
        <v>576666666.66666675</v>
      </c>
      <c r="H968" s="177">
        <v>399745000</v>
      </c>
      <c r="I968" s="175">
        <v>1.4425863154427616</v>
      </c>
      <c r="J968" s="177">
        <v>50</v>
      </c>
    </row>
    <row r="969" spans="1:10">
      <c r="A969" s="65">
        <v>4111</v>
      </c>
      <c r="B969" s="175">
        <v>0.23</v>
      </c>
      <c r="C969" s="184">
        <v>0.89473684210526316</v>
      </c>
      <c r="D969" s="177">
        <v>56521739.130434781</v>
      </c>
      <c r="E969" s="26"/>
      <c r="F969" s="184">
        <v>2.3333333333333309E-4</v>
      </c>
      <c r="G969" s="177">
        <v>1311304347.826087</v>
      </c>
      <c r="H969" s="177">
        <v>908469000</v>
      </c>
      <c r="I969" s="175">
        <v>1.4434222277547026</v>
      </c>
      <c r="J969" s="177">
        <v>28.184143222506389</v>
      </c>
    </row>
    <row r="970" spans="1:10">
      <c r="A970" s="65">
        <v>6431</v>
      </c>
      <c r="B970" s="175">
        <v>-1.01</v>
      </c>
      <c r="C970" s="184">
        <v>1</v>
      </c>
      <c r="D970" s="177">
        <v>45544554.455445543</v>
      </c>
      <c r="E970" s="26"/>
      <c r="F970" s="184">
        <v>0.53212499999999985</v>
      </c>
      <c r="G970" s="177">
        <v>621683168.31683171</v>
      </c>
      <c r="H970" s="177">
        <v>430606000</v>
      </c>
      <c r="I970" s="175">
        <v>1.443740143697096</v>
      </c>
      <c r="J970" s="177">
        <v>0</v>
      </c>
    </row>
    <row r="971" spans="1:10">
      <c r="A971" s="65">
        <v>6449</v>
      </c>
      <c r="B971" s="175">
        <v>0.53</v>
      </c>
      <c r="C971" s="184">
        <v>1</v>
      </c>
      <c r="D971" s="177">
        <v>73584905.660377353</v>
      </c>
      <c r="E971" s="26"/>
      <c r="F971" s="184">
        <v>1.5466666666666656E-2</v>
      </c>
      <c r="G971" s="177">
        <v>2060377358.4905658</v>
      </c>
      <c r="H971" s="177">
        <v>1426482000</v>
      </c>
      <c r="I971" s="175">
        <v>1.4443766962994036</v>
      </c>
      <c r="J971" s="177">
        <v>13.20754716981132</v>
      </c>
    </row>
    <row r="972" spans="1:10">
      <c r="A972" s="65">
        <v>6195</v>
      </c>
      <c r="B972" s="175">
        <v>1.0900000000000001</v>
      </c>
      <c r="C972" s="184">
        <v>0.96116504854368934</v>
      </c>
      <c r="D972" s="177">
        <v>43119266.055045865</v>
      </c>
      <c r="E972" s="26"/>
      <c r="F972" s="184">
        <v>9.5916666666666667E-3</v>
      </c>
      <c r="G972" s="177">
        <v>2341376146.7889905</v>
      </c>
      <c r="H972" s="177">
        <v>1616263000</v>
      </c>
      <c r="I972" s="175">
        <v>1.4486356161026952</v>
      </c>
      <c r="J972" s="177">
        <v>12.957325549068665</v>
      </c>
    </row>
    <row r="973" spans="1:10">
      <c r="A973" s="65">
        <v>6231</v>
      </c>
      <c r="B973" s="175">
        <v>0.66</v>
      </c>
      <c r="C973" s="184">
        <v>0.7931034482758621</v>
      </c>
      <c r="D973" s="177">
        <v>37878787.878787875</v>
      </c>
      <c r="E973" s="26"/>
      <c r="F973" s="184">
        <v>7.1150000000000005E-2</v>
      </c>
      <c r="G973" s="177">
        <v>1215909090.9090908</v>
      </c>
      <c r="H973" s="177">
        <v>835092000</v>
      </c>
      <c r="I973" s="175">
        <v>1.4560181284326645</v>
      </c>
      <c r="J973" s="177">
        <v>15.331027667984189</v>
      </c>
    </row>
    <row r="974" spans="1:10">
      <c r="A974" s="65">
        <v>8429</v>
      </c>
      <c r="B974" s="175">
        <v>2.2400000000000002</v>
      </c>
      <c r="C974" s="184">
        <v>1</v>
      </c>
      <c r="D974" s="177">
        <v>120982142.85714285</v>
      </c>
      <c r="E974" s="26"/>
      <c r="F974" s="184">
        <v>4.524166666666668E-2</v>
      </c>
      <c r="G974" s="177">
        <v>8323571428.5714273</v>
      </c>
      <c r="H974" s="177">
        <v>5712950000</v>
      </c>
      <c r="I974" s="175">
        <v>1.4569655657009823</v>
      </c>
      <c r="J974" s="177">
        <v>7.6785714285714279</v>
      </c>
    </row>
    <row r="975" spans="1:10">
      <c r="A975" s="65">
        <v>5264</v>
      </c>
      <c r="B975" s="175">
        <v>2.82</v>
      </c>
      <c r="C975" s="184">
        <v>0.68528464017185819</v>
      </c>
      <c r="D975" s="177">
        <v>340070921.98581564</v>
      </c>
      <c r="E975" s="26"/>
      <c r="F975" s="184">
        <v>4.4083333333333329E-2</v>
      </c>
      <c r="G975" s="177">
        <v>55601595744.680855</v>
      </c>
      <c r="H975" s="177">
        <v>37929205000</v>
      </c>
      <c r="I975" s="175">
        <v>1.4659309559660123</v>
      </c>
      <c r="J975" s="177">
        <v>21.151328953511641</v>
      </c>
    </row>
    <row r="976" spans="1:10">
      <c r="A976" s="65">
        <v>2497</v>
      </c>
      <c r="B976" s="175">
        <v>0.36</v>
      </c>
      <c r="C976" s="184">
        <v>0.86861313868613144</v>
      </c>
      <c r="D976" s="177">
        <v>116666666.66666667</v>
      </c>
      <c r="E976" s="26"/>
      <c r="F976" s="184">
        <v>-3.6475E-2</v>
      </c>
      <c r="G976" s="177">
        <v>5069166666.666667</v>
      </c>
      <c r="H976" s="177">
        <v>3451179000</v>
      </c>
      <c r="I976" s="175">
        <v>1.4688217176410343</v>
      </c>
      <c r="J976" s="177">
        <v>34.737686741363213</v>
      </c>
    </row>
    <row r="977" spans="1:11">
      <c r="A977" s="65">
        <v>8150</v>
      </c>
      <c r="B977" s="175">
        <v>0.57999999999999996</v>
      </c>
      <c r="C977" s="184">
        <v>1</v>
      </c>
      <c r="D977" s="177">
        <v>867241379.31034493</v>
      </c>
      <c r="E977" s="26"/>
      <c r="F977" s="184">
        <v>-1.3699999999999999E-2</v>
      </c>
      <c r="G977" s="177">
        <v>30743706896.551731</v>
      </c>
      <c r="H977" s="177">
        <v>20910792000</v>
      </c>
      <c r="I977" s="175">
        <v>1.4702315864722737</v>
      </c>
      <c r="J977" s="177">
        <v>15.280172413793105</v>
      </c>
    </row>
    <row r="978" spans="1:11">
      <c r="A978" s="65">
        <v>5487</v>
      </c>
      <c r="B978" s="175">
        <v>0.41</v>
      </c>
      <c r="C978" s="184">
        <v>0.8666666666666667</v>
      </c>
      <c r="D978" s="177">
        <v>21951219.512195121</v>
      </c>
      <c r="E978" s="26"/>
      <c r="F978" s="184">
        <v>6.8916666666666682E-2</v>
      </c>
      <c r="G978" s="177">
        <v>465365853.65853655</v>
      </c>
      <c r="H978" s="177">
        <v>316352000</v>
      </c>
      <c r="I978" s="175">
        <v>1.4710381273345405</v>
      </c>
      <c r="J978" s="177">
        <v>14.915572232645403</v>
      </c>
    </row>
    <row r="979" spans="1:11">
      <c r="A979" s="65">
        <v>8081</v>
      </c>
      <c r="B979" s="175">
        <v>0.76</v>
      </c>
      <c r="C979" s="184">
        <v>0.98870056497175141</v>
      </c>
      <c r="D979" s="177">
        <v>85526315.789473683</v>
      </c>
      <c r="E979" s="26"/>
      <c r="F979" s="184">
        <v>-1.2091666666666667E-2</v>
      </c>
      <c r="G979" s="177">
        <v>5131578947.3684206</v>
      </c>
      <c r="H979" s="177">
        <v>3481507000</v>
      </c>
      <c r="I979" s="175">
        <v>1.4739533619689464</v>
      </c>
      <c r="J979" s="177">
        <v>19.962406015037594</v>
      </c>
    </row>
    <row r="980" spans="1:11">
      <c r="A980" s="65">
        <v>2397</v>
      </c>
      <c r="B980" s="175">
        <v>0.79</v>
      </c>
      <c r="C980" s="184">
        <v>1</v>
      </c>
      <c r="D980" s="177">
        <v>113924050.63291138</v>
      </c>
      <c r="E980" s="26"/>
      <c r="F980" s="184">
        <v>2.6966666666666667E-2</v>
      </c>
      <c r="G980" s="177">
        <v>4460126582.2784805</v>
      </c>
      <c r="H980" s="177">
        <v>3024283000</v>
      </c>
      <c r="I980" s="175">
        <v>1.4747715680967954</v>
      </c>
      <c r="J980" s="177">
        <v>12.389240506329113</v>
      </c>
    </row>
    <row r="981" spans="1:11">
      <c r="A981" s="65">
        <v>2449</v>
      </c>
      <c r="B981" s="175">
        <v>0.56999999999999995</v>
      </c>
      <c r="C981" s="184">
        <v>0.87021110242376853</v>
      </c>
      <c r="D981" s="177">
        <v>1192982456.1403511</v>
      </c>
      <c r="E981" s="26"/>
      <c r="F981" s="184">
        <v>1.033333333333334E-3</v>
      </c>
      <c r="G981" s="177">
        <v>25171929824.561409</v>
      </c>
      <c r="H981" s="177">
        <v>17053858000</v>
      </c>
      <c r="I981" s="175">
        <v>1.4760255318509987</v>
      </c>
      <c r="J981" s="177">
        <v>10.634644788070808</v>
      </c>
      <c r="K981" s="32"/>
    </row>
    <row r="982" spans="1:11">
      <c r="A982" s="65">
        <v>2924</v>
      </c>
      <c r="B982" s="175">
        <v>0.12</v>
      </c>
      <c r="C982" s="184">
        <v>1</v>
      </c>
      <c r="D982" s="177">
        <v>33333333.333333336</v>
      </c>
      <c r="E982" s="26"/>
      <c r="F982" s="184">
        <v>1.23333333333333E-3</v>
      </c>
      <c r="G982" s="177">
        <v>2100000000.0000002</v>
      </c>
      <c r="H982" s="177">
        <v>1422449000</v>
      </c>
      <c r="I982" s="175">
        <v>1.4763270950311753</v>
      </c>
      <c r="J982" s="177">
        <v>50</v>
      </c>
    </row>
    <row r="983" spans="1:11">
      <c r="A983" s="65">
        <v>3521</v>
      </c>
      <c r="B983" s="175">
        <v>-0.02</v>
      </c>
      <c r="C983" s="184">
        <v>0.75</v>
      </c>
      <c r="D983" s="177">
        <v>50000000</v>
      </c>
      <c r="E983" s="26"/>
      <c r="F983" s="184">
        <v>0.18285833333333332</v>
      </c>
      <c r="G983" s="177">
        <v>705000000</v>
      </c>
      <c r="H983" s="177">
        <v>476912000</v>
      </c>
      <c r="I983" s="175">
        <v>1.4782601402355151</v>
      </c>
      <c r="J983" s="177">
        <v>0</v>
      </c>
    </row>
    <row r="984" spans="1:11">
      <c r="A984" s="65">
        <v>1537</v>
      </c>
      <c r="B984" s="175">
        <v>1.94</v>
      </c>
      <c r="C984" s="184">
        <v>1</v>
      </c>
      <c r="D984" s="177">
        <v>81958762.886597946</v>
      </c>
      <c r="E984" s="26"/>
      <c r="F984" s="184">
        <v>2.5666666666666654E-3</v>
      </c>
      <c r="G984" s="177">
        <v>10326804123.711342</v>
      </c>
      <c r="H984" s="177">
        <v>6982167000</v>
      </c>
      <c r="I984" s="175">
        <v>1.4790256554607391</v>
      </c>
      <c r="J984" s="177">
        <v>16.237113402061855</v>
      </c>
    </row>
    <row r="985" spans="1:11">
      <c r="A985" s="65">
        <v>8936</v>
      </c>
      <c r="B985" s="175">
        <v>0.77</v>
      </c>
      <c r="C985" s="184">
        <v>1</v>
      </c>
      <c r="D985" s="177">
        <v>185714285.7142857</v>
      </c>
      <c r="E985" s="26"/>
      <c r="F985" s="184">
        <v>-9.0000000000000028E-3</v>
      </c>
      <c r="G985" s="177">
        <v>6899285714.2857132</v>
      </c>
      <c r="H985" s="177">
        <v>4664528000</v>
      </c>
      <c r="I985" s="175">
        <v>1.4790962160127912</v>
      </c>
      <c r="J985" s="177">
        <v>12.061688311688311</v>
      </c>
    </row>
    <row r="986" spans="1:11">
      <c r="A986" s="65">
        <v>4103</v>
      </c>
      <c r="B986" s="175">
        <v>0.68</v>
      </c>
      <c r="C986" s="184">
        <v>1</v>
      </c>
      <c r="D986" s="177">
        <v>110294117.64705881</v>
      </c>
      <c r="E986" s="26"/>
      <c r="F986" s="184">
        <v>5.5308333333333314E-2</v>
      </c>
      <c r="G986" s="177">
        <v>9121323529.4117641</v>
      </c>
      <c r="H986" s="177">
        <v>6115435000</v>
      </c>
      <c r="I986" s="175">
        <v>1.4915248922458932</v>
      </c>
      <c r="J986" s="177">
        <v>30.40441176470588</v>
      </c>
    </row>
    <row r="987" spans="1:11">
      <c r="A987" s="65">
        <v>6457</v>
      </c>
      <c r="B987" s="175">
        <v>0.73</v>
      </c>
      <c r="C987" s="184">
        <v>1</v>
      </c>
      <c r="D987" s="177">
        <v>24657534.246575344</v>
      </c>
      <c r="E987" s="26"/>
      <c r="F987" s="184">
        <v>4.4441666666666678E-2</v>
      </c>
      <c r="G987" s="177">
        <v>796438356.16438353</v>
      </c>
      <c r="H987" s="177">
        <v>533836000</v>
      </c>
      <c r="I987" s="175">
        <v>1.4919157871788031</v>
      </c>
      <c r="J987" s="177">
        <v>11.061643835616438</v>
      </c>
    </row>
    <row r="988" spans="1:11">
      <c r="A988" s="65">
        <v>4304</v>
      </c>
      <c r="B988" s="175">
        <v>-0.28999999999999998</v>
      </c>
      <c r="C988" s="184">
        <v>1</v>
      </c>
      <c r="D988" s="177">
        <v>51724137.931034483</v>
      </c>
      <c r="E988" s="26"/>
      <c r="F988" s="184">
        <v>5.591666666666671E-3</v>
      </c>
      <c r="G988" s="177">
        <v>628448275.86206901</v>
      </c>
      <c r="H988" s="177">
        <v>417147000</v>
      </c>
      <c r="I988" s="175">
        <v>1.5065391237670869</v>
      </c>
      <c r="J988" s="177">
        <v>0</v>
      </c>
    </row>
    <row r="989" spans="1:11">
      <c r="A989" s="65">
        <v>5251</v>
      </c>
      <c r="B989" s="175">
        <v>0.5</v>
      </c>
      <c r="C989" s="184">
        <v>0.42499999999999999</v>
      </c>
      <c r="D989" s="177">
        <v>30000000</v>
      </c>
      <c r="E989" s="26"/>
      <c r="F989" s="184">
        <v>2.6941666666666659E-2</v>
      </c>
      <c r="G989" s="177">
        <v>1020000000</v>
      </c>
      <c r="H989" s="177">
        <v>676288000</v>
      </c>
      <c r="I989" s="175">
        <v>1.5082331787640768</v>
      </c>
      <c r="J989" s="177">
        <v>40</v>
      </c>
    </row>
    <row r="990" spans="1:11">
      <c r="A990" s="65">
        <v>3049</v>
      </c>
      <c r="B990" s="175">
        <v>-0.09</v>
      </c>
      <c r="C990" s="184">
        <v>1</v>
      </c>
      <c r="D990" s="177">
        <v>1188888888.8888888</v>
      </c>
      <c r="E990" s="26"/>
      <c r="F990" s="184">
        <v>4.4916666666666716E-3</v>
      </c>
      <c r="G990" s="177">
        <v>6693444444.4444437</v>
      </c>
      <c r="H990" s="177">
        <v>4437773000</v>
      </c>
      <c r="I990" s="175">
        <v>1.5082890549932237</v>
      </c>
      <c r="J990" s="177">
        <v>0</v>
      </c>
    </row>
    <row r="991" spans="1:11">
      <c r="A991" s="65">
        <v>3512</v>
      </c>
      <c r="B991" s="175">
        <v>-0.03</v>
      </c>
      <c r="C991" s="184">
        <v>1</v>
      </c>
      <c r="D991" s="177">
        <v>33333333.333333336</v>
      </c>
      <c r="E991" s="26"/>
      <c r="F991" s="184">
        <v>0.12030833333333331</v>
      </c>
      <c r="G991" s="177">
        <v>1213333333.3333335</v>
      </c>
      <c r="H991" s="177">
        <v>804377000</v>
      </c>
      <c r="I991" s="175">
        <v>1.5084137578937904</v>
      </c>
      <c r="J991" s="177">
        <v>0</v>
      </c>
    </row>
    <row r="992" spans="1:11">
      <c r="A992" s="65">
        <v>9921</v>
      </c>
      <c r="B992" s="175">
        <v>2.2200000000000002</v>
      </c>
      <c r="C992" s="184">
        <v>1</v>
      </c>
      <c r="D992" s="177">
        <v>376576576.57657653</v>
      </c>
      <c r="E992" s="26"/>
      <c r="F992" s="184">
        <v>5.9333333333333365E-3</v>
      </c>
      <c r="G992" s="177">
        <v>92261261261.261246</v>
      </c>
      <c r="H992" s="177">
        <v>61158494000</v>
      </c>
      <c r="I992" s="175">
        <v>1.5085600580887628</v>
      </c>
      <c r="J992" s="177">
        <v>27.590090090090087</v>
      </c>
    </row>
    <row r="993" spans="1:11">
      <c r="A993" s="65">
        <v>6217</v>
      </c>
      <c r="B993" s="175">
        <v>0.6</v>
      </c>
      <c r="C993" s="184">
        <v>1</v>
      </c>
      <c r="D993" s="177">
        <v>55000000</v>
      </c>
      <c r="E993" s="26"/>
      <c r="F993" s="184">
        <v>4.3008333333333322E-2</v>
      </c>
      <c r="G993" s="177">
        <v>2587750000</v>
      </c>
      <c r="H993" s="177">
        <v>1712611000</v>
      </c>
      <c r="I993" s="175">
        <v>1.510996951438476</v>
      </c>
      <c r="J993" s="177">
        <v>19.604166666666668</v>
      </c>
    </row>
    <row r="994" spans="1:11">
      <c r="A994" s="65">
        <v>1102</v>
      </c>
      <c r="B994" s="180">
        <v>0.94</v>
      </c>
      <c r="C994" s="184">
        <v>0.17053018131742023</v>
      </c>
      <c r="D994" s="181">
        <v>3073404255.319149</v>
      </c>
      <c r="E994" s="32"/>
      <c r="F994" s="184">
        <v>1.698333333333334E-2</v>
      </c>
      <c r="G994" s="181">
        <v>105264095744.68085</v>
      </c>
      <c r="H994" s="181">
        <v>69603345000</v>
      </c>
      <c r="I994" s="180">
        <v>1.5123424850440859</v>
      </c>
      <c r="J994" s="181">
        <v>50</v>
      </c>
    </row>
    <row r="995" spans="1:11">
      <c r="A995" s="65">
        <v>2063</v>
      </c>
      <c r="B995" s="175">
        <v>0.38</v>
      </c>
      <c r="C995" s="184">
        <v>1</v>
      </c>
      <c r="D995" s="177">
        <v>42105263.157894738</v>
      </c>
      <c r="E995" s="26"/>
      <c r="F995" s="184">
        <v>4.9558333333333322E-2</v>
      </c>
      <c r="G995" s="177">
        <v>995789473.68421054</v>
      </c>
      <c r="H995" s="177">
        <v>657266000</v>
      </c>
      <c r="I995" s="175">
        <v>1.5150479009780067</v>
      </c>
      <c r="J995" s="177">
        <v>15.559210526315788</v>
      </c>
    </row>
    <row r="996" spans="1:11">
      <c r="A996" s="65">
        <v>1264</v>
      </c>
      <c r="B996" s="175">
        <v>3.09</v>
      </c>
      <c r="C996" s="184">
        <v>1</v>
      </c>
      <c r="D996" s="177">
        <v>30420711.974110033</v>
      </c>
      <c r="E996" s="26"/>
      <c r="F996" s="184">
        <v>2.2249999999999995E-2</v>
      </c>
      <c r="G996" s="177">
        <v>5825566343.0420713</v>
      </c>
      <c r="H996" s="177">
        <v>3833927000</v>
      </c>
      <c r="I996" s="175">
        <v>1.5194776382132658</v>
      </c>
      <c r="J996" s="177">
        <v>15.493527508090615</v>
      </c>
    </row>
    <row r="997" spans="1:11">
      <c r="A997" s="65">
        <v>3570</v>
      </c>
      <c r="B997" s="175">
        <v>1.0900000000000001</v>
      </c>
      <c r="C997" s="184">
        <v>1</v>
      </c>
      <c r="D997" s="177">
        <v>17431192.660550456</v>
      </c>
      <c r="E997" s="26"/>
      <c r="F997" s="184">
        <v>7.3725000000000013E-2</v>
      </c>
      <c r="G997" s="177">
        <v>1499082568.8073392</v>
      </c>
      <c r="H997" s="177">
        <v>979594000</v>
      </c>
      <c r="I997" s="175">
        <v>1.5303100762227404</v>
      </c>
      <c r="J997" s="177">
        <v>19.724770642201833</v>
      </c>
    </row>
    <row r="998" spans="1:11">
      <c r="A998" s="65">
        <v>1710</v>
      </c>
      <c r="B998" s="175">
        <v>0.47</v>
      </c>
      <c r="C998" s="184">
        <v>1</v>
      </c>
      <c r="D998" s="177">
        <v>874468085.10638309</v>
      </c>
      <c r="E998" s="26"/>
      <c r="F998" s="184">
        <v>5.4033333333333343E-2</v>
      </c>
      <c r="G998" s="177">
        <v>21249574468.08511</v>
      </c>
      <c r="H998" s="177">
        <v>13858680000</v>
      </c>
      <c r="I998" s="175">
        <v>1.5333043600173399</v>
      </c>
      <c r="J998" s="177">
        <v>12.925531914893618</v>
      </c>
    </row>
    <row r="999" spans="1:11">
      <c r="A999" s="65">
        <v>4999</v>
      </c>
      <c r="B999" s="175">
        <v>0.73</v>
      </c>
      <c r="C999" s="184">
        <v>1</v>
      </c>
      <c r="D999" s="177">
        <v>73972602.739726022</v>
      </c>
      <c r="E999" s="26"/>
      <c r="F999" s="184">
        <v>1.2375000000000002E-2</v>
      </c>
      <c r="G999" s="177">
        <v>3328767123.2876711</v>
      </c>
      <c r="H999" s="177">
        <v>2163562000</v>
      </c>
      <c r="I999" s="175">
        <v>1.5385586931586297</v>
      </c>
      <c r="J999" s="177">
        <v>15.41095890410959</v>
      </c>
    </row>
    <row r="1000" spans="1:11">
      <c r="A1000" s="65">
        <v>2451</v>
      </c>
      <c r="B1000" s="175">
        <v>1.1399999999999999</v>
      </c>
      <c r="C1000" s="184">
        <v>1</v>
      </c>
      <c r="D1000" s="177">
        <v>430701754.38596493</v>
      </c>
      <c r="E1000" s="26"/>
      <c r="F1000" s="184">
        <v>5.866666666666665E-3</v>
      </c>
      <c r="G1000" s="177">
        <v>38892368421.052635</v>
      </c>
      <c r="H1000" s="177">
        <v>25221208000</v>
      </c>
      <c r="I1000" s="175">
        <v>1.5420501833636453</v>
      </c>
      <c r="J1000" s="177">
        <v>19.80263157894737</v>
      </c>
    </row>
    <row r="1001" spans="1:11">
      <c r="A1001" s="65">
        <v>5210</v>
      </c>
      <c r="B1001" s="175">
        <v>0.28000000000000003</v>
      </c>
      <c r="C1001" s="184">
        <v>1</v>
      </c>
      <c r="D1001" s="177">
        <v>67857142.857142851</v>
      </c>
      <c r="E1001" s="26"/>
      <c r="F1001" s="184">
        <v>7.3491666666666636E-2</v>
      </c>
      <c r="G1001" s="177">
        <v>485178571.4285714</v>
      </c>
      <c r="H1001" s="177">
        <v>314506000</v>
      </c>
      <c r="I1001" s="175">
        <v>1.5426687294632579</v>
      </c>
      <c r="J1001" s="177">
        <v>6.3839285714285712</v>
      </c>
    </row>
    <row r="1002" spans="1:11">
      <c r="A1002" s="65">
        <v>3050</v>
      </c>
      <c r="B1002" s="175">
        <v>0.28999999999999998</v>
      </c>
      <c r="C1002" s="184">
        <v>0.26470588235294118</v>
      </c>
      <c r="D1002" s="177">
        <v>179310344.82758623</v>
      </c>
      <c r="E1002" s="26"/>
      <c r="F1002" s="184">
        <v>1.6616666666666668E-2</v>
      </c>
      <c r="G1002" s="177">
        <v>1416551724.1379313</v>
      </c>
      <c r="H1002" s="177">
        <v>916765000</v>
      </c>
      <c r="I1002" s="175">
        <v>1.5451633997130467</v>
      </c>
      <c r="J1002" s="177">
        <v>25.727969348659006</v>
      </c>
    </row>
    <row r="1003" spans="1:11">
      <c r="A1003" s="65">
        <v>4979</v>
      </c>
      <c r="B1003" s="175">
        <v>1.63</v>
      </c>
      <c r="C1003" s="184">
        <v>1</v>
      </c>
      <c r="D1003" s="177">
        <v>66871165.644171782</v>
      </c>
      <c r="E1003" s="26"/>
      <c r="F1003" s="184">
        <v>3.8324999999999991E-2</v>
      </c>
      <c r="G1003" s="177">
        <v>6198957055.2147245</v>
      </c>
      <c r="H1003" s="177">
        <v>4001004000</v>
      </c>
      <c r="I1003" s="175">
        <v>1.5493503768590895</v>
      </c>
      <c r="J1003" s="177">
        <v>14.217791411042946</v>
      </c>
      <c r="K1003" s="32"/>
    </row>
    <row r="1004" spans="1:11">
      <c r="A1004" s="65">
        <v>6210</v>
      </c>
      <c r="B1004" s="175">
        <v>0.9</v>
      </c>
      <c r="C1004" s="184">
        <v>1</v>
      </c>
      <c r="D1004" s="177">
        <v>34444444.44444444</v>
      </c>
      <c r="E1004" s="26"/>
      <c r="F1004" s="184">
        <v>-2.7341666666666663E-2</v>
      </c>
      <c r="G1004" s="177">
        <v>1622333333.3333333</v>
      </c>
      <c r="H1004" s="177">
        <v>1045020000</v>
      </c>
      <c r="I1004" s="175">
        <v>1.5524423774983571</v>
      </c>
      <c r="J1004" s="177">
        <v>13.083333333333334</v>
      </c>
    </row>
    <row r="1005" spans="1:11">
      <c r="A1005" s="65">
        <v>8423</v>
      </c>
      <c r="B1005" s="175">
        <v>0.21</v>
      </c>
      <c r="C1005" s="184">
        <v>0.7</v>
      </c>
      <c r="D1005" s="177">
        <v>19047619.047619049</v>
      </c>
      <c r="E1005" s="26"/>
      <c r="F1005" s="184">
        <v>-5.4166666666666669E-3</v>
      </c>
      <c r="G1005" s="177">
        <v>443809523.80952382</v>
      </c>
      <c r="H1005" s="177">
        <v>285569000</v>
      </c>
      <c r="I1005" s="175">
        <v>1.5541236051865708</v>
      </c>
      <c r="J1005" s="177">
        <v>39.625850340136061</v>
      </c>
    </row>
    <row r="1006" spans="1:11">
      <c r="A1006" s="65">
        <v>2732</v>
      </c>
      <c r="B1006" s="175">
        <v>0.92</v>
      </c>
      <c r="C1006" s="184">
        <v>1</v>
      </c>
      <c r="D1006" s="177">
        <v>28260869.565217391</v>
      </c>
      <c r="E1006" s="26"/>
      <c r="F1006" s="184">
        <v>9.3916666666666662E-3</v>
      </c>
      <c r="G1006" s="177">
        <v>2543478260.869565</v>
      </c>
      <c r="H1006" s="177">
        <v>1631571000</v>
      </c>
      <c r="I1006" s="175">
        <v>1.5589136242735162</v>
      </c>
      <c r="J1006" s="177">
        <v>24.456521739130434</v>
      </c>
    </row>
    <row r="1007" spans="1:11">
      <c r="A1007" s="65">
        <v>2527</v>
      </c>
      <c r="B1007" s="175">
        <v>1.4</v>
      </c>
      <c r="C1007" s="184">
        <v>0.81818181818181823</v>
      </c>
      <c r="D1007" s="177">
        <v>262857142.85714287</v>
      </c>
      <c r="E1007" s="26"/>
      <c r="F1007" s="184">
        <v>15.665058333333333</v>
      </c>
      <c r="G1007" s="177">
        <v>4534285714.2857141</v>
      </c>
      <c r="H1007" s="177">
        <v>2897487000</v>
      </c>
      <c r="I1007" s="175">
        <v>1.5649028673073302</v>
      </c>
      <c r="J1007" s="177">
        <v>3.7648809523809521</v>
      </c>
    </row>
    <row r="1008" spans="1:11">
      <c r="A1008" s="65">
        <v>1456</v>
      </c>
      <c r="B1008" s="175">
        <v>-0.1</v>
      </c>
      <c r="C1008" s="184">
        <v>0.23255813953488372</v>
      </c>
      <c r="D1008" s="177">
        <v>210000000</v>
      </c>
      <c r="E1008" s="26"/>
      <c r="F1008" s="184">
        <v>2.3366666666666664E-2</v>
      </c>
      <c r="G1008" s="177">
        <v>1012200000.0000001</v>
      </c>
      <c r="H1008" s="177">
        <v>646506000</v>
      </c>
      <c r="I1008" s="175">
        <v>1.5656467225362178</v>
      </c>
      <c r="J1008" s="177">
        <v>0</v>
      </c>
    </row>
    <row r="1009" spans="1:10">
      <c r="A1009" s="65">
        <v>5301</v>
      </c>
      <c r="B1009" s="175">
        <v>0.35</v>
      </c>
      <c r="C1009" s="184">
        <v>0.76623376623376627</v>
      </c>
      <c r="D1009" s="177">
        <v>82857142.857142866</v>
      </c>
      <c r="E1009" s="26"/>
      <c r="F1009" s="184">
        <v>3.4691666666666669E-2</v>
      </c>
      <c r="G1009" s="177">
        <v>3550428571.4285717</v>
      </c>
      <c r="H1009" s="177">
        <v>2265449000</v>
      </c>
      <c r="I1009" s="175">
        <v>1.5672074592844825</v>
      </c>
      <c r="J1009" s="177">
        <v>39.944915254237287</v>
      </c>
    </row>
    <row r="1010" spans="1:10">
      <c r="A1010" s="65">
        <v>1597</v>
      </c>
      <c r="B1010" s="175">
        <v>0.44</v>
      </c>
      <c r="C1010" s="184">
        <v>1</v>
      </c>
      <c r="D1010" s="177">
        <v>56818181.81818182</v>
      </c>
      <c r="E1010" s="26"/>
      <c r="F1010" s="184">
        <v>1.8566666666666665E-2</v>
      </c>
      <c r="G1010" s="177">
        <v>1576704545.4545455</v>
      </c>
      <c r="H1010" s="177">
        <v>1005222000</v>
      </c>
      <c r="I1010" s="175">
        <v>1.5685137665655402</v>
      </c>
      <c r="J1010" s="177">
        <v>15.767045454545455</v>
      </c>
    </row>
    <row r="1011" spans="1:10">
      <c r="A1011" s="65">
        <v>3629</v>
      </c>
      <c r="B1011" s="175">
        <v>-1.33</v>
      </c>
      <c r="C1011" s="184">
        <v>0.90196078431372551</v>
      </c>
      <c r="D1011" s="177">
        <v>21052631.578947369</v>
      </c>
      <c r="E1011" s="26"/>
      <c r="F1011" s="184">
        <v>0.13998333333333335</v>
      </c>
      <c r="G1011" s="177">
        <v>183157894.7368421</v>
      </c>
      <c r="H1011" s="177">
        <v>116695000</v>
      </c>
      <c r="I1011" s="175">
        <v>1.5695436371467681</v>
      </c>
      <c r="J1011" s="177">
        <v>0</v>
      </c>
    </row>
    <row r="1012" spans="1:10">
      <c r="A1012" s="65">
        <v>3014</v>
      </c>
      <c r="B1012" s="175">
        <v>0.23</v>
      </c>
      <c r="C1012" s="184">
        <v>1</v>
      </c>
      <c r="D1012" s="177">
        <v>156521739.13043478</v>
      </c>
      <c r="E1012" s="26"/>
      <c r="F1012" s="184">
        <v>2.2033333333333325E-2</v>
      </c>
      <c r="G1012" s="177">
        <v>4758260869.565217</v>
      </c>
      <c r="H1012" s="177">
        <v>3027719000</v>
      </c>
      <c r="I1012" s="175">
        <v>1.5715662086095892</v>
      </c>
      <c r="J1012" s="177">
        <v>33.043478260869563</v>
      </c>
    </row>
    <row r="1013" spans="1:10">
      <c r="A1013" s="65">
        <v>6488</v>
      </c>
      <c r="B1013" s="175">
        <v>1.47</v>
      </c>
      <c r="C1013" s="184">
        <v>0.98785425101214575</v>
      </c>
      <c r="D1013" s="177">
        <v>348299319.72789115</v>
      </c>
      <c r="E1013" s="26"/>
      <c r="F1013" s="184">
        <v>-7.7083333333333335E-3</v>
      </c>
      <c r="G1013" s="177">
        <v>24659591836.734692</v>
      </c>
      <c r="H1013" s="177">
        <v>15672012000</v>
      </c>
      <c r="I1013" s="175">
        <v>1.5734796423544528</v>
      </c>
      <c r="J1013" s="177">
        <v>12.188859150217464</v>
      </c>
    </row>
    <row r="1014" spans="1:10">
      <c r="A1014" s="65">
        <v>3454</v>
      </c>
      <c r="B1014" s="175">
        <v>2.08</v>
      </c>
      <c r="C1014" s="184">
        <v>1</v>
      </c>
      <c r="D1014" s="177">
        <v>76442307.692307696</v>
      </c>
      <c r="E1014" s="26"/>
      <c r="F1014" s="184">
        <v>2.1958333333333333E-2</v>
      </c>
      <c r="G1014" s="177">
        <v>6176538461.5384617</v>
      </c>
      <c r="H1014" s="177">
        <v>3921429000</v>
      </c>
      <c r="I1014" s="175">
        <v>1.5750733881802939</v>
      </c>
      <c r="J1014" s="177">
        <v>9.7115384615384617</v>
      </c>
    </row>
    <row r="1015" spans="1:10">
      <c r="A1015" s="65">
        <v>3558</v>
      </c>
      <c r="B1015" s="175">
        <v>4</v>
      </c>
      <c r="C1015" s="184">
        <v>0.81770833333333337</v>
      </c>
      <c r="D1015" s="177">
        <v>49000000</v>
      </c>
      <c r="E1015" s="26"/>
      <c r="F1015" s="184">
        <v>2.491666666666667E-2</v>
      </c>
      <c r="G1015" s="177">
        <v>11833500000</v>
      </c>
      <c r="H1015" s="177">
        <v>7480317000</v>
      </c>
      <c r="I1015" s="175">
        <v>1.5819516739731752</v>
      </c>
      <c r="J1015" s="177">
        <v>18.458598726114648</v>
      </c>
    </row>
    <row r="1016" spans="1:10">
      <c r="A1016" s="65">
        <v>3372</v>
      </c>
      <c r="B1016" s="175">
        <v>-0.18</v>
      </c>
      <c r="C1016" s="184">
        <v>0.6785714285714286</v>
      </c>
      <c r="D1016" s="177">
        <v>394444444.44444448</v>
      </c>
      <c r="E1016" s="26"/>
      <c r="F1016" s="184">
        <v>-3.4483333333333338E-2</v>
      </c>
      <c r="G1016" s="177">
        <v>2997777777.7777777</v>
      </c>
      <c r="H1016" s="177">
        <v>1892769000</v>
      </c>
      <c r="I1016" s="175">
        <v>1.5838054077268688</v>
      </c>
      <c r="J1016" s="177">
        <v>0</v>
      </c>
    </row>
    <row r="1017" spans="1:10">
      <c r="A1017" s="65">
        <v>2548</v>
      </c>
      <c r="B1017" s="175">
        <v>2.6</v>
      </c>
      <c r="C1017" s="184">
        <v>0.9978779840848806</v>
      </c>
      <c r="D1017" s="177">
        <v>276153846.15384614</v>
      </c>
      <c r="E1017" s="26"/>
      <c r="F1017" s="184">
        <v>2.4421250000000003</v>
      </c>
      <c r="G1017" s="177">
        <v>17425307692.307693</v>
      </c>
      <c r="H1017" s="177">
        <v>10977025000</v>
      </c>
      <c r="I1017" s="175">
        <v>1.5874344544453249</v>
      </c>
      <c r="J1017" s="177">
        <v>6.0802099946836794</v>
      </c>
    </row>
    <row r="1018" spans="1:10">
      <c r="A1018" s="65">
        <v>4908</v>
      </c>
      <c r="B1018" s="175">
        <v>0.09</v>
      </c>
      <c r="C1018" s="184">
        <v>1</v>
      </c>
      <c r="D1018" s="177">
        <v>77777777.777777776</v>
      </c>
      <c r="E1018" s="26"/>
      <c r="F1018" s="184">
        <v>3.4333333333333312E-3</v>
      </c>
      <c r="G1018" s="177">
        <v>1652777777.7777777</v>
      </c>
      <c r="H1018" s="177">
        <v>1040946000</v>
      </c>
      <c r="I1018" s="175">
        <v>1.5877651461053481</v>
      </c>
      <c r="J1018" s="177">
        <v>50</v>
      </c>
    </row>
    <row r="1019" spans="1:10">
      <c r="A1019" s="65">
        <v>1315</v>
      </c>
      <c r="B1019" s="175">
        <v>0.14000000000000001</v>
      </c>
      <c r="C1019" s="184">
        <v>0.6875</v>
      </c>
      <c r="D1019" s="177">
        <v>185714285.7142857</v>
      </c>
      <c r="E1019" s="26"/>
      <c r="F1019" s="184">
        <v>5.4166666666666677E-3</v>
      </c>
      <c r="G1019" s="177">
        <v>4484999999.999999</v>
      </c>
      <c r="H1019" s="177">
        <v>2822517000</v>
      </c>
      <c r="I1019" s="175">
        <v>1.5890072584150952</v>
      </c>
      <c r="J1019" s="177">
        <v>50</v>
      </c>
    </row>
    <row r="1020" spans="1:10">
      <c r="A1020" s="65">
        <v>3555</v>
      </c>
      <c r="B1020" s="175">
        <v>-1.06</v>
      </c>
      <c r="C1020" s="184">
        <v>0.99099099099099097</v>
      </c>
      <c r="D1020" s="177">
        <v>52830188.679245278</v>
      </c>
      <c r="E1020" s="26"/>
      <c r="F1020" s="184">
        <v>0.55436666666666667</v>
      </c>
      <c r="G1020" s="177">
        <v>530943396.2264151</v>
      </c>
      <c r="H1020" s="177">
        <v>333882000</v>
      </c>
      <c r="I1020" s="175">
        <v>1.590212698577387</v>
      </c>
      <c r="J1020" s="177">
        <v>0</v>
      </c>
    </row>
    <row r="1021" spans="1:10">
      <c r="A1021" s="65">
        <v>8072</v>
      </c>
      <c r="B1021" s="175">
        <v>0.38</v>
      </c>
      <c r="C1021" s="184">
        <v>0.703125</v>
      </c>
      <c r="D1021" s="177">
        <v>100000000</v>
      </c>
      <c r="E1021" s="26"/>
      <c r="F1021" s="184">
        <v>-2.2358333333333338E-2</v>
      </c>
      <c r="G1021" s="177">
        <v>2715000000</v>
      </c>
      <c r="H1021" s="177">
        <v>1707059000</v>
      </c>
      <c r="I1021" s="175">
        <v>1.5904546943017202</v>
      </c>
      <c r="J1021" s="177">
        <v>25.403508771929822</v>
      </c>
    </row>
    <row r="1022" spans="1:10">
      <c r="A1022" s="65">
        <v>8147</v>
      </c>
      <c r="B1022" s="175">
        <v>0.75</v>
      </c>
      <c r="C1022" s="184">
        <v>1</v>
      </c>
      <c r="D1022" s="177">
        <v>21333333.333333332</v>
      </c>
      <c r="E1022" s="26"/>
      <c r="F1022" s="184">
        <v>5.3050000000000021E-2</v>
      </c>
      <c r="G1022" s="177">
        <v>1224533333.3333333</v>
      </c>
      <c r="H1022" s="177">
        <v>769587000</v>
      </c>
      <c r="I1022" s="175">
        <v>1.5911564687726447</v>
      </c>
      <c r="J1022" s="177">
        <v>19.133333333333333</v>
      </c>
    </row>
    <row r="1023" spans="1:10">
      <c r="A1023" s="65">
        <v>4551</v>
      </c>
      <c r="B1023" s="175">
        <v>1.01</v>
      </c>
      <c r="C1023" s="184">
        <v>1</v>
      </c>
      <c r="D1023" s="177">
        <v>74257425.74257426</v>
      </c>
      <c r="E1023" s="26"/>
      <c r="F1023" s="184">
        <v>2.6449999999999998E-2</v>
      </c>
      <c r="G1023" s="177">
        <v>4759900990.0990095</v>
      </c>
      <c r="H1023" s="177">
        <v>2990021000</v>
      </c>
      <c r="I1023" s="175">
        <v>1.5919289496960087</v>
      </c>
      <c r="J1023" s="177">
        <v>15.866336633663364</v>
      </c>
    </row>
    <row r="1024" spans="1:10">
      <c r="A1024" s="65">
        <v>3332</v>
      </c>
      <c r="B1024" s="175">
        <v>0.81</v>
      </c>
      <c r="C1024" s="184">
        <v>0.796875</v>
      </c>
      <c r="D1024" s="177">
        <v>48148148.148148142</v>
      </c>
      <c r="E1024" s="26"/>
      <c r="F1024" s="184">
        <v>3.2583333333333332E-2</v>
      </c>
      <c r="G1024" s="177">
        <v>1829629629.6296294</v>
      </c>
      <c r="H1024" s="177">
        <v>1147636000</v>
      </c>
      <c r="I1024" s="175">
        <v>1.5942595297024749</v>
      </c>
      <c r="J1024" s="177">
        <v>14.717985959816025</v>
      </c>
    </row>
    <row r="1025" spans="1:11">
      <c r="A1025" s="65">
        <v>5468</v>
      </c>
      <c r="B1025" s="175">
        <v>-0.01</v>
      </c>
      <c r="C1025" s="184">
        <v>0.33333333333333331</v>
      </c>
      <c r="D1025" s="177">
        <v>100000000</v>
      </c>
      <c r="E1025" s="26"/>
      <c r="F1025" s="184">
        <v>-6.2333333333333346E-3</v>
      </c>
      <c r="G1025" s="177">
        <v>750000000</v>
      </c>
      <c r="H1025" s="177">
        <v>467141000</v>
      </c>
      <c r="I1025" s="175">
        <v>1.6055109699212871</v>
      </c>
      <c r="J1025" s="177">
        <v>0</v>
      </c>
    </row>
    <row r="1026" spans="1:11">
      <c r="A1026" s="65">
        <v>4541</v>
      </c>
      <c r="B1026" s="175">
        <v>0.3</v>
      </c>
      <c r="C1026" s="184">
        <v>0.73913043478260865</v>
      </c>
      <c r="D1026" s="177">
        <v>53333333.333333336</v>
      </c>
      <c r="E1026" s="26"/>
      <c r="F1026" s="184">
        <v>7.8416666666666704E-3</v>
      </c>
      <c r="G1026" s="177">
        <v>1672000000.0000002</v>
      </c>
      <c r="H1026" s="177">
        <v>1039854000</v>
      </c>
      <c r="I1026" s="175">
        <v>1.6079180346471718</v>
      </c>
      <c r="J1026" s="177">
        <v>35.345588235294123</v>
      </c>
    </row>
    <row r="1027" spans="1:11">
      <c r="A1027" s="65">
        <v>6261</v>
      </c>
      <c r="B1027" s="175">
        <v>1.07</v>
      </c>
      <c r="C1027" s="184">
        <v>1</v>
      </c>
      <c r="D1027" s="177">
        <v>128037383.17757009</v>
      </c>
      <c r="E1027" s="26"/>
      <c r="F1027" s="184">
        <v>-4.5749999999999966E-3</v>
      </c>
      <c r="G1027" s="177">
        <v>6075373831.7757015</v>
      </c>
      <c r="H1027" s="177">
        <v>3763364000</v>
      </c>
      <c r="I1027" s="175">
        <v>1.6143465877272838</v>
      </c>
      <c r="J1027" s="177">
        <v>11.086448598130842</v>
      </c>
      <c r="K1027" s="32"/>
    </row>
    <row r="1028" spans="1:11">
      <c r="A1028" s="65">
        <v>2637</v>
      </c>
      <c r="B1028" s="175">
        <v>1.19</v>
      </c>
      <c r="C1028" s="184">
        <v>1</v>
      </c>
      <c r="D1028" s="177">
        <v>471428571.42857146</v>
      </c>
      <c r="E1028" s="26"/>
      <c r="F1028" s="184">
        <v>1.8116666666666666E-2</v>
      </c>
      <c r="G1028" s="177">
        <v>17442857142.857143</v>
      </c>
      <c r="H1028" s="177">
        <v>10733367000</v>
      </c>
      <c r="I1028" s="175">
        <v>1.6251058165491912</v>
      </c>
      <c r="J1028" s="177">
        <v>7.7731092436974789</v>
      </c>
    </row>
    <row r="1029" spans="1:11">
      <c r="A1029" s="65">
        <v>5533</v>
      </c>
      <c r="B1029" s="175">
        <v>0.3</v>
      </c>
      <c r="C1029" s="184">
        <v>1</v>
      </c>
      <c r="D1029" s="177">
        <v>270000000</v>
      </c>
      <c r="E1029" s="26"/>
      <c r="F1029" s="184">
        <v>0.82412500000000011</v>
      </c>
      <c r="G1029" s="177">
        <v>4617000000</v>
      </c>
      <c r="H1029" s="177">
        <v>2831993000</v>
      </c>
      <c r="I1029" s="175">
        <v>1.6303006398674007</v>
      </c>
      <c r="J1029" s="177">
        <v>14.250000000000002</v>
      </c>
    </row>
    <row r="1030" spans="1:11">
      <c r="A1030" s="65">
        <v>2105</v>
      </c>
      <c r="B1030" s="175">
        <v>1</v>
      </c>
      <c r="C1030" s="184">
        <v>1</v>
      </c>
      <c r="D1030" s="177">
        <v>3255000000</v>
      </c>
      <c r="E1030" s="26"/>
      <c r="F1030" s="184">
        <v>7.7499999999999791E-4</v>
      </c>
      <c r="G1030" s="177">
        <v>195300000000</v>
      </c>
      <c r="H1030" s="177">
        <v>119613897000</v>
      </c>
      <c r="I1030" s="175">
        <v>1.6327534249636562</v>
      </c>
      <c r="J1030" s="177">
        <v>15</v>
      </c>
    </row>
    <row r="1031" spans="1:11">
      <c r="A1031" s="65">
        <v>2702</v>
      </c>
      <c r="B1031" s="175">
        <v>0.16</v>
      </c>
      <c r="C1031" s="184">
        <v>1</v>
      </c>
      <c r="D1031" s="177">
        <v>87500000</v>
      </c>
      <c r="E1031" s="26"/>
      <c r="F1031" s="184">
        <v>8.5250000000000006E-2</v>
      </c>
      <c r="G1031" s="177">
        <v>1255625000</v>
      </c>
      <c r="H1031" s="177">
        <v>768316000</v>
      </c>
      <c r="I1031" s="175">
        <v>1.6342559571842836</v>
      </c>
      <c r="J1031" s="177">
        <v>22.421875</v>
      </c>
    </row>
    <row r="1032" spans="1:11">
      <c r="A1032" s="65">
        <v>6257</v>
      </c>
      <c r="B1032" s="175">
        <v>0.61</v>
      </c>
      <c r="C1032" s="184">
        <v>0.96286472148541113</v>
      </c>
      <c r="D1032" s="177">
        <v>362295081.96721309</v>
      </c>
      <c r="E1032" s="26"/>
      <c r="F1032" s="184">
        <v>-7.9166666666666502E-4</v>
      </c>
      <c r="G1032" s="177">
        <v>8242213114.7540979</v>
      </c>
      <c r="H1032" s="177">
        <v>5037755000</v>
      </c>
      <c r="I1032" s="175">
        <v>1.6360885185472691</v>
      </c>
      <c r="J1032" s="177">
        <v>9.6833649460326061</v>
      </c>
    </row>
    <row r="1033" spans="1:11">
      <c r="A1033" s="65">
        <v>9928</v>
      </c>
      <c r="B1033" s="175">
        <v>-0.65</v>
      </c>
      <c r="C1033" s="184">
        <v>1</v>
      </c>
      <c r="D1033" s="177">
        <v>132307692.3076923</v>
      </c>
      <c r="E1033" s="26"/>
      <c r="F1033" s="184">
        <v>9.7358333333333311E-2</v>
      </c>
      <c r="G1033" s="177">
        <v>1541384615.3846154</v>
      </c>
      <c r="H1033" s="177">
        <v>942000000</v>
      </c>
      <c r="I1033" s="175">
        <v>1.6362894006206108</v>
      </c>
      <c r="J1033" s="177">
        <v>0</v>
      </c>
    </row>
    <row r="1034" spans="1:11">
      <c r="A1034" s="65">
        <v>9949</v>
      </c>
      <c r="B1034" s="175">
        <v>-0.38</v>
      </c>
      <c r="C1034" s="184">
        <v>1</v>
      </c>
      <c r="D1034" s="177">
        <v>47368421.052631579</v>
      </c>
      <c r="E1034" s="26"/>
      <c r="F1034" s="184">
        <v>2.8774999999999992E-2</v>
      </c>
      <c r="G1034" s="177">
        <v>708157894.73684204</v>
      </c>
      <c r="H1034" s="177">
        <v>432581000</v>
      </c>
      <c r="I1034" s="175">
        <v>1.6370527016601331</v>
      </c>
      <c r="J1034" s="177">
        <v>0</v>
      </c>
    </row>
    <row r="1035" spans="1:11">
      <c r="A1035" s="65">
        <v>5213</v>
      </c>
      <c r="B1035" s="175">
        <v>-0.03</v>
      </c>
      <c r="C1035" s="184">
        <v>1</v>
      </c>
      <c r="D1035" s="177">
        <v>433333333.33333337</v>
      </c>
      <c r="E1035" s="26"/>
      <c r="F1035" s="184">
        <v>6.6253750000000009</v>
      </c>
      <c r="G1035" s="177">
        <v>6565000000.000001</v>
      </c>
      <c r="H1035" s="177">
        <v>4006732000</v>
      </c>
      <c r="I1035" s="175">
        <v>1.6384924172617488</v>
      </c>
      <c r="J1035" s="177">
        <v>0</v>
      </c>
    </row>
    <row r="1036" spans="1:11">
      <c r="A1036" s="65">
        <v>2729</v>
      </c>
      <c r="B1036" s="175">
        <v>3.57</v>
      </c>
      <c r="C1036" s="184">
        <v>0.96894409937888204</v>
      </c>
      <c r="D1036" s="177">
        <v>23249299.719887957</v>
      </c>
      <c r="E1036" s="26"/>
      <c r="F1036" s="184">
        <v>2.7516666666666662E-2</v>
      </c>
      <c r="G1036" s="177">
        <v>5510084033.6134462</v>
      </c>
      <c r="H1036" s="177">
        <v>3354823000</v>
      </c>
      <c r="I1036" s="175">
        <v>1.6424365856599428</v>
      </c>
      <c r="J1036" s="177">
        <v>17.128582202111613</v>
      </c>
    </row>
    <row r="1037" spans="1:11">
      <c r="A1037" s="65">
        <v>1303</v>
      </c>
      <c r="B1037" s="175">
        <v>1.58</v>
      </c>
      <c r="C1037" s="184">
        <v>0.44236395552954944</v>
      </c>
      <c r="D1037" s="177">
        <v>7948101265.8227844</v>
      </c>
      <c r="E1037" s="26"/>
      <c r="F1037" s="184">
        <v>-6.3833333333333303E-3</v>
      </c>
      <c r="G1037" s="177">
        <v>509473291139.24042</v>
      </c>
      <c r="H1037" s="177">
        <v>309737591000</v>
      </c>
      <c r="I1037" s="175">
        <v>1.6448545670365222</v>
      </c>
      <c r="J1037" s="177">
        <v>22.927738430111845</v>
      </c>
    </row>
    <row r="1038" spans="1:11">
      <c r="A1038" s="65">
        <v>6128</v>
      </c>
      <c r="B1038" s="175">
        <v>0.81</v>
      </c>
      <c r="C1038" s="184">
        <v>1</v>
      </c>
      <c r="D1038" s="177">
        <v>91358024.691358015</v>
      </c>
      <c r="E1038" s="26"/>
      <c r="F1038" s="184">
        <v>1.6883333333333334E-2</v>
      </c>
      <c r="G1038" s="177">
        <v>3147283950.6172838</v>
      </c>
      <c r="H1038" s="177">
        <v>1911518000</v>
      </c>
      <c r="I1038" s="175">
        <v>1.6464840773758258</v>
      </c>
      <c r="J1038" s="177">
        <v>10.632716049382717</v>
      </c>
    </row>
    <row r="1039" spans="1:11">
      <c r="A1039" s="65">
        <v>5230</v>
      </c>
      <c r="B1039" s="175">
        <v>1.06</v>
      </c>
      <c r="C1039" s="184">
        <v>1</v>
      </c>
      <c r="D1039" s="177">
        <v>45283018.867924526</v>
      </c>
      <c r="E1039" s="26"/>
      <c r="F1039" s="184">
        <v>4.5966666666666663E-2</v>
      </c>
      <c r="G1039" s="177">
        <v>2323018867.9245281</v>
      </c>
      <c r="H1039" s="177">
        <v>1410112000</v>
      </c>
      <c r="I1039" s="175">
        <v>1.6474002546780171</v>
      </c>
      <c r="J1039" s="177">
        <v>12.099056603773583</v>
      </c>
    </row>
    <row r="1040" spans="1:11">
      <c r="A1040" s="65">
        <v>1233</v>
      </c>
      <c r="B1040" s="180">
        <v>0.37</v>
      </c>
      <c r="C1040" s="184">
        <v>0.8936170212765957</v>
      </c>
      <c r="D1040" s="181">
        <v>91891891.891891897</v>
      </c>
      <c r="E1040" s="179"/>
      <c r="F1040" s="184">
        <v>1.6116666666666665E-2</v>
      </c>
      <c r="G1040" s="181">
        <v>3537837837.8378382</v>
      </c>
      <c r="H1040" s="181">
        <v>2145645000</v>
      </c>
      <c r="I1040" s="180">
        <v>1.6488458425498338</v>
      </c>
      <c r="J1040" s="181">
        <v>29.110360360360364</v>
      </c>
    </row>
    <row r="1041" spans="1:10">
      <c r="A1041" s="65">
        <v>2325</v>
      </c>
      <c r="B1041" s="175">
        <v>1.18</v>
      </c>
      <c r="C1041" s="184">
        <v>0.95518118245390971</v>
      </c>
      <c r="D1041" s="177">
        <v>3116101694.9152546</v>
      </c>
      <c r="E1041" s="26"/>
      <c r="F1041" s="184">
        <v>-1.4833333333333341E-3</v>
      </c>
      <c r="G1041" s="177">
        <v>137420084745.76273</v>
      </c>
      <c r="H1041" s="177">
        <v>83190005000</v>
      </c>
      <c r="I1041" s="175">
        <v>1.6518821551430696</v>
      </c>
      <c r="J1041" s="177">
        <v>9.7816210271017248</v>
      </c>
    </row>
    <row r="1042" spans="1:10">
      <c r="A1042" s="65">
        <v>4737</v>
      </c>
      <c r="B1042" s="175">
        <v>0.24</v>
      </c>
      <c r="C1042" s="184">
        <v>1</v>
      </c>
      <c r="D1042" s="177">
        <v>50000000</v>
      </c>
      <c r="E1042" s="26"/>
      <c r="F1042" s="184">
        <v>3.421666666666668E-2</v>
      </c>
      <c r="G1042" s="177">
        <v>2705000000</v>
      </c>
      <c r="H1042" s="177">
        <v>1633950000</v>
      </c>
      <c r="I1042" s="175">
        <v>1.6554974142415619</v>
      </c>
      <c r="J1042" s="177">
        <v>50</v>
      </c>
    </row>
    <row r="1043" spans="1:10">
      <c r="A1043" s="65">
        <v>4995</v>
      </c>
      <c r="B1043" s="175">
        <v>0.75</v>
      </c>
      <c r="C1043" s="184">
        <v>1</v>
      </c>
      <c r="D1043" s="177">
        <v>34666666.666666664</v>
      </c>
      <c r="E1043" s="26"/>
      <c r="F1043" s="184">
        <v>3.1291666666666662E-2</v>
      </c>
      <c r="G1043" s="177">
        <v>1371066666.6666665</v>
      </c>
      <c r="H1043" s="177">
        <v>827776000</v>
      </c>
      <c r="I1043" s="175">
        <v>1.656325704860574</v>
      </c>
      <c r="J1043" s="177">
        <v>13.183333333333332</v>
      </c>
    </row>
    <row r="1044" spans="1:10">
      <c r="A1044" s="65">
        <v>8011</v>
      </c>
      <c r="B1044" s="175">
        <v>0.12</v>
      </c>
      <c r="C1044" s="184">
        <v>1</v>
      </c>
      <c r="D1044" s="177">
        <v>108333333.33333334</v>
      </c>
      <c r="E1044" s="26"/>
      <c r="F1044" s="184">
        <v>7.4666666666666657E-3</v>
      </c>
      <c r="G1044" s="177">
        <v>2545833333.3333335</v>
      </c>
      <c r="H1044" s="177">
        <v>1521629000</v>
      </c>
      <c r="I1044" s="175">
        <v>1.6730972749161153</v>
      </c>
      <c r="J1044" s="177">
        <v>48.958333333333336</v>
      </c>
    </row>
    <row r="1045" spans="1:10">
      <c r="A1045" s="65">
        <v>4432</v>
      </c>
      <c r="B1045" s="175">
        <v>0.76</v>
      </c>
      <c r="C1045" s="184">
        <v>1</v>
      </c>
      <c r="D1045" s="177">
        <v>50000000</v>
      </c>
      <c r="E1045" s="26"/>
      <c r="F1045" s="184">
        <v>1.9833333333333328E-2</v>
      </c>
      <c r="G1045" s="177">
        <v>4010000000</v>
      </c>
      <c r="H1045" s="177">
        <v>2389519000</v>
      </c>
      <c r="I1045" s="175">
        <v>1.6781620066632656</v>
      </c>
      <c r="J1045" s="177">
        <v>26.381578947368421</v>
      </c>
    </row>
    <row r="1046" spans="1:10">
      <c r="A1046" s="65">
        <v>5206</v>
      </c>
      <c r="B1046" s="175">
        <v>0.42</v>
      </c>
      <c r="C1046" s="184">
        <v>0.41935483870967744</v>
      </c>
      <c r="D1046" s="177">
        <v>150000000</v>
      </c>
      <c r="E1046" s="26"/>
      <c r="F1046" s="184">
        <v>2.9491916666666662</v>
      </c>
      <c r="G1046" s="177">
        <v>1657500000</v>
      </c>
      <c r="H1046" s="177">
        <v>981610000</v>
      </c>
      <c r="I1046" s="175">
        <v>1.6885524801092084</v>
      </c>
      <c r="J1046" s="177">
        <v>15.684523809523812</v>
      </c>
    </row>
    <row r="1047" spans="1:10">
      <c r="A1047" s="65">
        <v>4536</v>
      </c>
      <c r="B1047" s="175">
        <v>1.84</v>
      </c>
      <c r="C1047" s="184">
        <v>0.77350427350427353</v>
      </c>
      <c r="D1047" s="177">
        <v>90760869.565217391</v>
      </c>
      <c r="E1047" s="26"/>
      <c r="F1047" s="184">
        <v>2.4233333333333332E-2</v>
      </c>
      <c r="G1047" s="177">
        <v>11481250000</v>
      </c>
      <c r="H1047" s="177">
        <v>6797124000</v>
      </c>
      <c r="I1047" s="175">
        <v>1.6891335217659704</v>
      </c>
      <c r="J1047" s="177">
        <v>22.220303867403313</v>
      </c>
    </row>
    <row r="1048" spans="1:10">
      <c r="A1048" s="65">
        <v>3665</v>
      </c>
      <c r="B1048" s="175">
        <v>1.85</v>
      </c>
      <c r="C1048" s="184">
        <v>0.83823529411764708</v>
      </c>
      <c r="D1048" s="177">
        <v>91351351.351351351</v>
      </c>
      <c r="E1048" s="26"/>
      <c r="F1048" s="184">
        <v>1.4474999999999997E-2</v>
      </c>
      <c r="G1048" s="177">
        <v>13748378378.378378</v>
      </c>
      <c r="H1048" s="177">
        <v>8101673000</v>
      </c>
      <c r="I1048" s="175">
        <v>1.6969801642671061</v>
      </c>
      <c r="J1048" s="177">
        <v>24.262683736367947</v>
      </c>
    </row>
    <row r="1049" spans="1:10">
      <c r="A1049" s="65">
        <v>1325</v>
      </c>
      <c r="B1049" s="175">
        <v>0.17</v>
      </c>
      <c r="C1049" s="184">
        <v>1</v>
      </c>
      <c r="D1049" s="177">
        <v>100000000</v>
      </c>
      <c r="E1049" s="26"/>
      <c r="F1049" s="184">
        <v>5.1691666666666664E-2</v>
      </c>
      <c r="G1049" s="177">
        <v>2039999999.9999998</v>
      </c>
      <c r="H1049" s="177">
        <v>1202115000</v>
      </c>
      <c r="I1049" s="175">
        <v>1.6970090215994309</v>
      </c>
      <c r="J1049" s="177">
        <v>29.999999999999996</v>
      </c>
    </row>
    <row r="1050" spans="1:10">
      <c r="A1050" s="65">
        <v>5278</v>
      </c>
      <c r="B1050" s="175">
        <v>-0.39</v>
      </c>
      <c r="C1050" s="184">
        <v>0.9375</v>
      </c>
      <c r="D1050" s="177">
        <v>12820512.82051282</v>
      </c>
      <c r="E1050" s="26"/>
      <c r="F1050" s="184">
        <v>1.4391666666666669E-2</v>
      </c>
      <c r="G1050" s="177">
        <v>388461538.46153843</v>
      </c>
      <c r="H1050" s="177">
        <v>227826000</v>
      </c>
      <c r="I1050" s="175">
        <v>1.7050799226670286</v>
      </c>
      <c r="J1050" s="177">
        <v>0</v>
      </c>
    </row>
    <row r="1051" spans="1:10">
      <c r="A1051" s="65">
        <v>2929</v>
      </c>
      <c r="B1051" s="175">
        <v>3.21</v>
      </c>
      <c r="C1051" s="184">
        <v>0.8966480446927374</v>
      </c>
      <c r="D1051" s="177">
        <v>57943925.233644858</v>
      </c>
      <c r="E1051" s="26"/>
      <c r="F1051" s="184">
        <v>0.165575</v>
      </c>
      <c r="G1051" s="177">
        <v>8923364485.981308</v>
      </c>
      <c r="H1051" s="177">
        <v>5229743000</v>
      </c>
      <c r="I1051" s="175">
        <v>1.7062720837297947</v>
      </c>
      <c r="J1051" s="177">
        <v>13.376228879766307</v>
      </c>
    </row>
    <row r="1052" spans="1:10">
      <c r="A1052" s="65">
        <v>8424</v>
      </c>
      <c r="B1052" s="175">
        <v>0.99</v>
      </c>
      <c r="C1052" s="184">
        <v>0.92537313432835822</v>
      </c>
      <c r="D1052" s="177">
        <v>36363636.363636367</v>
      </c>
      <c r="E1052" s="26"/>
      <c r="F1052" s="184">
        <v>1.61E-2</v>
      </c>
      <c r="G1052" s="177">
        <v>1450909090.909091</v>
      </c>
      <c r="H1052" s="177">
        <v>847744000</v>
      </c>
      <c r="I1052" s="175">
        <v>1.7114943790921446</v>
      </c>
      <c r="J1052" s="177">
        <v>10.888318670576734</v>
      </c>
    </row>
    <row r="1053" spans="1:10">
      <c r="A1053" s="65">
        <v>2233</v>
      </c>
      <c r="B1053" s="175">
        <v>1.24</v>
      </c>
      <c r="C1053" s="184">
        <v>1</v>
      </c>
      <c r="D1053" s="177">
        <v>49193548.387096778</v>
      </c>
      <c r="E1053" s="26"/>
      <c r="F1053" s="184">
        <v>2.8000000000000017E-3</v>
      </c>
      <c r="G1053" s="177">
        <v>3271370967.7419357</v>
      </c>
      <c r="H1053" s="177">
        <v>1909701000</v>
      </c>
      <c r="I1053" s="175">
        <v>1.7130278340650897</v>
      </c>
      <c r="J1053" s="177">
        <v>13.40725806451613</v>
      </c>
    </row>
    <row r="1054" spans="1:10">
      <c r="A1054" s="65">
        <v>1452</v>
      </c>
      <c r="B1054" s="175">
        <v>1.18</v>
      </c>
      <c r="C1054" s="184">
        <v>0.48360655737704916</v>
      </c>
      <c r="D1054" s="177">
        <v>132203389.83050849</v>
      </c>
      <c r="E1054" s="26"/>
      <c r="F1054" s="184">
        <v>-9.6583333333333365E-3</v>
      </c>
      <c r="G1054" s="177">
        <v>3549661016.9491529</v>
      </c>
      <c r="H1054" s="177">
        <v>2067873000</v>
      </c>
      <c r="I1054" s="175">
        <v>1.7165759294449674</v>
      </c>
      <c r="J1054" s="177">
        <v>11.762783682849758</v>
      </c>
    </row>
    <row r="1055" spans="1:10">
      <c r="A1055" s="65">
        <v>4106</v>
      </c>
      <c r="B1055" s="175">
        <v>0.57999999999999996</v>
      </c>
      <c r="C1055" s="184">
        <v>0.95283018867924529</v>
      </c>
      <c r="D1055" s="177">
        <v>84482758.62068966</v>
      </c>
      <c r="E1055" s="26"/>
      <c r="F1055" s="184">
        <v>1.2566666666666663E-2</v>
      </c>
      <c r="G1055" s="177">
        <v>3493362068.9655175</v>
      </c>
      <c r="H1055" s="177">
        <v>2034122000</v>
      </c>
      <c r="I1055" s="175">
        <v>1.7173808006429887</v>
      </c>
      <c r="J1055" s="177">
        <v>18.705616251280301</v>
      </c>
    </row>
    <row r="1056" spans="1:10">
      <c r="A1056" s="65">
        <v>3218</v>
      </c>
      <c r="B1056" s="175">
        <v>0.3</v>
      </c>
      <c r="C1056" s="184">
        <v>1</v>
      </c>
      <c r="D1056" s="177">
        <v>66666666.666666672</v>
      </c>
      <c r="E1056" s="26"/>
      <c r="F1056" s="184">
        <v>4.2416666666666662E-3</v>
      </c>
      <c r="G1056" s="177">
        <v>1743333333.3333333</v>
      </c>
      <c r="H1056" s="177">
        <v>1012832000</v>
      </c>
      <c r="I1056" s="175">
        <v>1.7212463008014491</v>
      </c>
      <c r="J1056" s="177">
        <v>21.791666666666668</v>
      </c>
    </row>
    <row r="1057" spans="1:10">
      <c r="A1057" s="65">
        <v>6271</v>
      </c>
      <c r="B1057" s="175">
        <v>1.1299999999999999</v>
      </c>
      <c r="C1057" s="184">
        <v>1</v>
      </c>
      <c r="D1057" s="177">
        <v>163716814.15929204</v>
      </c>
      <c r="E1057" s="26"/>
      <c r="F1057" s="184">
        <v>-2.1583333333333294E-3</v>
      </c>
      <c r="G1057" s="177">
        <v>13293805309.734514</v>
      </c>
      <c r="H1057" s="177">
        <v>7722971000</v>
      </c>
      <c r="I1057" s="175">
        <v>1.7213330607786193</v>
      </c>
      <c r="J1057" s="177">
        <v>17.964601769911507</v>
      </c>
    </row>
    <row r="1058" spans="1:10">
      <c r="A1058" s="65">
        <v>2305</v>
      </c>
      <c r="B1058" s="175">
        <v>0.08</v>
      </c>
      <c r="C1058" s="184">
        <v>0</v>
      </c>
      <c r="D1058" s="177">
        <v>200000000</v>
      </c>
      <c r="E1058" s="26"/>
      <c r="F1058" s="184">
        <v>9.5650000000000013E-2</v>
      </c>
      <c r="G1058" s="177">
        <v>1420000000</v>
      </c>
      <c r="H1058" s="177">
        <v>824177000</v>
      </c>
      <c r="I1058" s="175">
        <v>1.7229308752852845</v>
      </c>
      <c r="J1058" s="177">
        <v>0</v>
      </c>
    </row>
    <row r="1059" spans="1:10">
      <c r="A1059" s="65">
        <v>2008</v>
      </c>
      <c r="B1059" s="175">
        <v>-0.16</v>
      </c>
      <c r="C1059" s="184">
        <v>1</v>
      </c>
      <c r="D1059" s="177">
        <v>275000000</v>
      </c>
      <c r="E1059" s="26"/>
      <c r="F1059" s="184">
        <v>-4.4141666666666669E-2</v>
      </c>
      <c r="G1059" s="177">
        <v>2340250000</v>
      </c>
      <c r="H1059" s="177">
        <v>1353617000</v>
      </c>
      <c r="I1059" s="175">
        <v>1.7288863836668718</v>
      </c>
      <c r="J1059" s="177">
        <v>0</v>
      </c>
    </row>
    <row r="1060" spans="1:10">
      <c r="A1060" s="65">
        <v>3004</v>
      </c>
      <c r="B1060" s="175">
        <v>0.91</v>
      </c>
      <c r="C1060" s="184">
        <v>1</v>
      </c>
      <c r="D1060" s="177">
        <v>52747252.747252747</v>
      </c>
      <c r="E1060" s="26"/>
      <c r="F1060" s="184">
        <v>5.3850000000000002E-2</v>
      </c>
      <c r="G1060" s="177">
        <v>2558241758.2417583</v>
      </c>
      <c r="H1060" s="177">
        <v>1478996000</v>
      </c>
      <c r="I1060" s="175">
        <v>1.7297151298865976</v>
      </c>
      <c r="J1060" s="177">
        <v>13.324175824175823</v>
      </c>
    </row>
    <row r="1061" spans="1:10">
      <c r="A1061" s="65">
        <v>8091</v>
      </c>
      <c r="B1061" s="175">
        <v>1.7</v>
      </c>
      <c r="C1061" s="184">
        <v>0.98684210526315785</v>
      </c>
      <c r="D1061" s="177">
        <v>57647058.823529415</v>
      </c>
      <c r="E1061" s="26"/>
      <c r="F1061" s="184">
        <v>0.10411666666666665</v>
      </c>
      <c r="G1061" s="177">
        <v>3545294117.647059</v>
      </c>
      <c r="H1061" s="177">
        <v>2045191000</v>
      </c>
      <c r="I1061" s="175">
        <v>1.7334782510029914</v>
      </c>
      <c r="J1061" s="177">
        <v>9.1647058823529424</v>
      </c>
    </row>
    <row r="1062" spans="1:10">
      <c r="A1062" s="65">
        <v>3624</v>
      </c>
      <c r="B1062" s="175">
        <v>0.3</v>
      </c>
      <c r="C1062" s="184">
        <v>1</v>
      </c>
      <c r="D1062" s="177">
        <v>116666666.66666667</v>
      </c>
      <c r="E1062" s="26"/>
      <c r="F1062" s="184">
        <v>2.9058333333333328E-2</v>
      </c>
      <c r="G1062" s="177">
        <v>2660000000</v>
      </c>
      <c r="H1062" s="177">
        <v>1533415000</v>
      </c>
      <c r="I1062" s="175">
        <v>1.7346902175862373</v>
      </c>
      <c r="J1062" s="177">
        <v>19</v>
      </c>
    </row>
    <row r="1063" spans="1:10">
      <c r="A1063" s="65">
        <v>1541</v>
      </c>
      <c r="B1063" s="175">
        <v>0.51</v>
      </c>
      <c r="C1063" s="184">
        <v>1</v>
      </c>
      <c r="D1063" s="177">
        <v>78431372.549019605</v>
      </c>
      <c r="E1063" s="26"/>
      <c r="F1063" s="184">
        <v>4.7883333333333326E-2</v>
      </c>
      <c r="G1063" s="177">
        <v>5098039215.6862745</v>
      </c>
      <c r="H1063" s="177">
        <v>2938552000</v>
      </c>
      <c r="I1063" s="175">
        <v>1.7348814027065964</v>
      </c>
      <c r="J1063" s="177">
        <v>31.862745098039216</v>
      </c>
    </row>
    <row r="1064" spans="1:10">
      <c r="A1064" s="65">
        <v>3593</v>
      </c>
      <c r="B1064" s="175">
        <v>-0.66</v>
      </c>
      <c r="C1064" s="184">
        <v>0.70909090909090911</v>
      </c>
      <c r="D1064" s="177">
        <v>112121212.12121211</v>
      </c>
      <c r="E1064" s="26"/>
      <c r="F1064" s="184">
        <v>0.47217500000000007</v>
      </c>
      <c r="G1064" s="177">
        <v>926121212.12121201</v>
      </c>
      <c r="H1064" s="177">
        <v>533782000</v>
      </c>
      <c r="I1064" s="175">
        <v>1.7350176890963203</v>
      </c>
      <c r="J1064" s="177">
        <v>0</v>
      </c>
    </row>
    <row r="1065" spans="1:10">
      <c r="A1065" s="65">
        <v>6277</v>
      </c>
      <c r="B1065" s="175">
        <v>1.1399999999999999</v>
      </c>
      <c r="C1065" s="184">
        <v>0.97272727272727277</v>
      </c>
      <c r="D1065" s="177">
        <v>119298245.6140351</v>
      </c>
      <c r="E1065" s="26"/>
      <c r="F1065" s="184">
        <v>1.049166666666667E-2</v>
      </c>
      <c r="G1065" s="177">
        <v>8529824561.4035101</v>
      </c>
      <c r="H1065" s="177">
        <v>4905734000</v>
      </c>
      <c r="I1065" s="175">
        <v>1.7387458352620648</v>
      </c>
      <c r="J1065" s="177">
        <v>16.119445810788655</v>
      </c>
    </row>
    <row r="1066" spans="1:10">
      <c r="A1066" s="65">
        <v>8034</v>
      </c>
      <c r="B1066" s="175">
        <v>-0.1</v>
      </c>
      <c r="C1066" s="184">
        <v>0.33333333333333331</v>
      </c>
      <c r="D1066" s="177">
        <v>60000000</v>
      </c>
      <c r="E1066" s="26"/>
      <c r="F1066" s="184">
        <v>7.8233333333333321E-2</v>
      </c>
      <c r="G1066" s="177">
        <v>393000000</v>
      </c>
      <c r="H1066" s="177">
        <v>225979000</v>
      </c>
      <c r="I1066" s="175">
        <v>1.7390996508525129</v>
      </c>
      <c r="J1066" s="177">
        <v>0</v>
      </c>
    </row>
    <row r="1067" spans="1:10">
      <c r="A1067" s="65">
        <v>8107</v>
      </c>
      <c r="B1067" s="175">
        <v>0.03</v>
      </c>
      <c r="C1067" s="184">
        <v>0</v>
      </c>
      <c r="D1067" s="177">
        <v>100000000</v>
      </c>
      <c r="E1067" s="26"/>
      <c r="F1067" s="184">
        <v>-2.7916666666666658E-3</v>
      </c>
      <c r="G1067" s="177">
        <v>1900000000</v>
      </c>
      <c r="H1067" s="177">
        <v>1092376000</v>
      </c>
      <c r="I1067" s="175">
        <v>1.7393278504837162</v>
      </c>
      <c r="J1067" s="177">
        <v>0</v>
      </c>
    </row>
    <row r="1068" spans="1:10">
      <c r="A1068" s="65">
        <v>3559</v>
      </c>
      <c r="B1068" s="175">
        <v>0.57999999999999996</v>
      </c>
      <c r="C1068" s="184">
        <v>0.94117647058823528</v>
      </c>
      <c r="D1068" s="177">
        <v>118965517.24137932</v>
      </c>
      <c r="E1068" s="26"/>
      <c r="F1068" s="184">
        <v>4.3083333333333333E-3</v>
      </c>
      <c r="G1068" s="177">
        <v>2652931034.482759</v>
      </c>
      <c r="H1068" s="177">
        <v>1521940000</v>
      </c>
      <c r="I1068" s="175">
        <v>1.7431245873574248</v>
      </c>
      <c r="J1068" s="177">
        <v>10.212823275862071</v>
      </c>
    </row>
    <row r="1069" spans="1:10">
      <c r="A1069" s="65">
        <v>5266</v>
      </c>
      <c r="B1069" s="175">
        <v>1.97</v>
      </c>
      <c r="C1069" s="184">
        <v>1</v>
      </c>
      <c r="D1069" s="177">
        <v>31979695.431472082</v>
      </c>
      <c r="E1069" s="26"/>
      <c r="F1069" s="184">
        <v>1.2383333333333331E-2</v>
      </c>
      <c r="G1069" s="177">
        <v>1890000000</v>
      </c>
      <c r="H1069" s="177">
        <v>1079729000</v>
      </c>
      <c r="I1069" s="175">
        <v>1.7504392305847116</v>
      </c>
      <c r="J1069" s="177">
        <v>7.5</v>
      </c>
    </row>
    <row r="1070" spans="1:10">
      <c r="A1070" s="65">
        <v>1256</v>
      </c>
      <c r="B1070" s="180">
        <v>3.02</v>
      </c>
      <c r="C1070" s="184">
        <v>0.98449612403100772</v>
      </c>
      <c r="D1070" s="181">
        <v>27152317.8807947</v>
      </c>
      <c r="E1070" s="179"/>
      <c r="F1070" s="184">
        <v>9.9224999999999966E-2</v>
      </c>
      <c r="G1070" s="181">
        <v>4154304635.7615891</v>
      </c>
      <c r="H1070" s="181">
        <v>2369159000</v>
      </c>
      <c r="I1070" s="180">
        <v>1.753493385526927</v>
      </c>
      <c r="J1070" s="181">
        <v>12.865020597590865</v>
      </c>
    </row>
    <row r="1071" spans="1:10">
      <c r="A1071" s="65">
        <v>1737</v>
      </c>
      <c r="B1071" s="175">
        <v>0.34</v>
      </c>
      <c r="C1071" s="184">
        <v>1</v>
      </c>
      <c r="D1071" s="177">
        <v>200000000</v>
      </c>
      <c r="E1071" s="26"/>
      <c r="F1071" s="184">
        <v>1.285E-2</v>
      </c>
      <c r="G1071" s="177">
        <v>4880000000</v>
      </c>
      <c r="H1071" s="177">
        <v>2766113000</v>
      </c>
      <c r="I1071" s="175">
        <v>1.7642084759371726</v>
      </c>
      <c r="J1071" s="177">
        <v>17.941176470588232</v>
      </c>
    </row>
    <row r="1072" spans="1:10">
      <c r="A1072" s="65">
        <v>1423</v>
      </c>
      <c r="B1072" s="175">
        <v>0.1</v>
      </c>
      <c r="C1072" s="184">
        <v>0</v>
      </c>
      <c r="D1072" s="177">
        <v>160000000</v>
      </c>
      <c r="E1072" s="26"/>
      <c r="F1072" s="184">
        <v>1.1274999999999999E-2</v>
      </c>
      <c r="G1072" s="177">
        <v>1150400000</v>
      </c>
      <c r="H1072" s="177">
        <v>651855000</v>
      </c>
      <c r="I1072" s="175">
        <v>1.7648096585897171</v>
      </c>
      <c r="J1072" s="177">
        <v>0</v>
      </c>
    </row>
    <row r="1073" spans="1:10">
      <c r="A1073" s="65">
        <v>3686</v>
      </c>
      <c r="B1073" s="175">
        <v>-0.45</v>
      </c>
      <c r="C1073" s="184">
        <v>0.9965870307167235</v>
      </c>
      <c r="D1073" s="177">
        <v>348888888.8888889</v>
      </c>
      <c r="E1073" s="26"/>
      <c r="F1073" s="184">
        <v>-4.1583333333333342E-3</v>
      </c>
      <c r="G1073" s="177">
        <v>2846933333.3333335</v>
      </c>
      <c r="H1073" s="177">
        <v>1608080000</v>
      </c>
      <c r="I1073" s="175">
        <v>1.7703928494436429</v>
      </c>
      <c r="J1073" s="177">
        <v>0</v>
      </c>
    </row>
    <row r="1074" spans="1:10">
      <c r="A1074" s="65">
        <v>8931</v>
      </c>
      <c r="B1074" s="175">
        <v>0.05</v>
      </c>
      <c r="C1074" s="184">
        <v>1</v>
      </c>
      <c r="D1074" s="177">
        <v>120000000</v>
      </c>
      <c r="E1074" s="26"/>
      <c r="F1074" s="184">
        <v>4.6500000000000014E-3</v>
      </c>
      <c r="G1074" s="177">
        <v>2424000000</v>
      </c>
      <c r="H1074" s="177">
        <v>1366408000</v>
      </c>
      <c r="I1074" s="175">
        <v>1.7739942974572749</v>
      </c>
      <c r="J1074" s="177">
        <v>50</v>
      </c>
    </row>
    <row r="1075" spans="1:10">
      <c r="A1075" s="65">
        <v>5288</v>
      </c>
      <c r="B1075" s="175">
        <v>2.42</v>
      </c>
      <c r="C1075" s="184">
        <v>0.74042553191489358</v>
      </c>
      <c r="D1075" s="177">
        <v>64462809.917355374</v>
      </c>
      <c r="E1075" s="26"/>
      <c r="F1075" s="184">
        <v>3.3908333333333332E-2</v>
      </c>
      <c r="G1075" s="177">
        <v>7155371900.8264465</v>
      </c>
      <c r="H1075" s="177">
        <v>4002457000</v>
      </c>
      <c r="I1075" s="175">
        <v>1.787744852930699</v>
      </c>
      <c r="J1075" s="177">
        <v>15.486962097463667</v>
      </c>
    </row>
    <row r="1076" spans="1:10">
      <c r="A1076" s="65">
        <v>2542</v>
      </c>
      <c r="B1076" s="175">
        <v>-0.32</v>
      </c>
      <c r="C1076" s="184">
        <v>0.98349834983498352</v>
      </c>
      <c r="D1076" s="177">
        <v>881250000</v>
      </c>
      <c r="E1076" s="26"/>
      <c r="F1076" s="184">
        <v>0.75408333333333333</v>
      </c>
      <c r="G1076" s="177">
        <v>41198437500</v>
      </c>
      <c r="H1076" s="177">
        <v>22882653000</v>
      </c>
      <c r="I1076" s="175">
        <v>1.8004222456198589</v>
      </c>
      <c r="J1076" s="177">
        <v>0</v>
      </c>
    </row>
    <row r="1077" spans="1:10">
      <c r="A1077" s="65">
        <v>2420</v>
      </c>
      <c r="B1077" s="175">
        <v>0.77</v>
      </c>
      <c r="C1077" s="184">
        <v>0.7640449438202247</v>
      </c>
      <c r="D1077" s="177">
        <v>153246753.24675325</v>
      </c>
      <c r="E1077" s="26"/>
      <c r="F1077" s="184">
        <v>1.2333333333333328E-2</v>
      </c>
      <c r="G1077" s="177">
        <v>5984285714.2857141</v>
      </c>
      <c r="H1077" s="177">
        <v>3308655000</v>
      </c>
      <c r="I1077" s="175">
        <v>1.8086762488944039</v>
      </c>
      <c r="J1077" s="177">
        <v>16.594012605042018</v>
      </c>
    </row>
    <row r="1078" spans="1:10">
      <c r="A1078" s="65">
        <v>1316</v>
      </c>
      <c r="B1078" s="175">
        <v>-0.11</v>
      </c>
      <c r="C1078" s="184">
        <v>0.9178082191780822</v>
      </c>
      <c r="D1078" s="177">
        <v>154545454.54545453</v>
      </c>
      <c r="E1078" s="26"/>
      <c r="F1078" s="184">
        <v>4.8500000000000022E-2</v>
      </c>
      <c r="G1078" s="177">
        <v>1591818181.8181818</v>
      </c>
      <c r="H1078" s="177">
        <v>878956000</v>
      </c>
      <c r="I1078" s="175">
        <v>1.8110328410275165</v>
      </c>
      <c r="J1078" s="177">
        <v>0</v>
      </c>
    </row>
    <row r="1079" spans="1:10">
      <c r="A1079" s="65">
        <v>4987</v>
      </c>
      <c r="B1079" s="175">
        <v>1.71</v>
      </c>
      <c r="C1079" s="184">
        <v>1</v>
      </c>
      <c r="D1079" s="177">
        <v>25146198.830409355</v>
      </c>
      <c r="E1079" s="26"/>
      <c r="F1079" s="184">
        <v>-6.0333333333333315E-3</v>
      </c>
      <c r="G1079" s="177">
        <v>2124853801.1695905</v>
      </c>
      <c r="H1079" s="177">
        <v>1172355000</v>
      </c>
      <c r="I1079" s="175">
        <v>1.8124661908462798</v>
      </c>
      <c r="J1079" s="177">
        <v>12.353801169590643</v>
      </c>
    </row>
    <row r="1080" spans="1:10">
      <c r="A1080" s="65">
        <v>1533</v>
      </c>
      <c r="B1080" s="175">
        <v>0.28000000000000003</v>
      </c>
      <c r="C1080" s="184">
        <v>1</v>
      </c>
      <c r="D1080" s="177">
        <v>92857142.857142851</v>
      </c>
      <c r="E1080" s="26"/>
      <c r="F1080" s="184">
        <v>5.7166666666666694E-3</v>
      </c>
      <c r="G1080" s="177">
        <v>4498928571.4285717</v>
      </c>
      <c r="H1080" s="177">
        <v>2480711000</v>
      </c>
      <c r="I1080" s="175">
        <v>1.8135641642370157</v>
      </c>
      <c r="J1080" s="177">
        <v>43.258928571428569</v>
      </c>
    </row>
    <row r="1081" spans="1:10">
      <c r="A1081" s="65">
        <v>8048</v>
      </c>
      <c r="B1081" s="175">
        <v>0.97</v>
      </c>
      <c r="C1081" s="184">
        <v>1</v>
      </c>
      <c r="D1081" s="177">
        <v>51546391.75257732</v>
      </c>
      <c r="E1081" s="26"/>
      <c r="F1081" s="184">
        <v>4.1716666666666673E-2</v>
      </c>
      <c r="G1081" s="177">
        <v>2793814432.9896908</v>
      </c>
      <c r="H1081" s="177">
        <v>1538058000</v>
      </c>
      <c r="I1081" s="175">
        <v>1.8164558378095566</v>
      </c>
      <c r="J1081" s="177">
        <v>13.969072164948455</v>
      </c>
    </row>
    <row r="1082" spans="1:10">
      <c r="A1082" s="65">
        <v>1475</v>
      </c>
      <c r="B1082" s="175">
        <v>-0.28999999999999998</v>
      </c>
      <c r="C1082" s="184">
        <v>0.41379310344827586</v>
      </c>
      <c r="D1082" s="177">
        <v>51724137.931034483</v>
      </c>
      <c r="E1082" s="26"/>
      <c r="F1082" s="184">
        <v>3.6533333333333327E-2</v>
      </c>
      <c r="G1082" s="177">
        <v>428793103.4482758</v>
      </c>
      <c r="H1082" s="177">
        <v>234701000</v>
      </c>
      <c r="I1082" s="175">
        <v>1.8269760395067589</v>
      </c>
      <c r="J1082" s="177">
        <v>0</v>
      </c>
    </row>
    <row r="1083" spans="1:10">
      <c r="A1083" s="65">
        <v>6187</v>
      </c>
      <c r="B1083" s="175">
        <v>1.43</v>
      </c>
      <c r="C1083" s="184">
        <v>0.96932515337423308</v>
      </c>
      <c r="D1083" s="177">
        <v>80419580.41958043</v>
      </c>
      <c r="E1083" s="26"/>
      <c r="F1083" s="184">
        <v>-2.4508333333333337E-2</v>
      </c>
      <c r="G1083" s="177">
        <v>2987587412.5874128</v>
      </c>
      <c r="H1083" s="177">
        <v>1633375000</v>
      </c>
      <c r="I1083" s="175">
        <v>1.8290884901430553</v>
      </c>
      <c r="J1083" s="177">
        <v>6.700285474019652</v>
      </c>
    </row>
    <row r="1084" spans="1:10">
      <c r="A1084" s="65">
        <v>1781</v>
      </c>
      <c r="B1084" s="175">
        <v>-0.39</v>
      </c>
      <c r="C1084" s="184">
        <v>0.94117647058823528</v>
      </c>
      <c r="D1084" s="177">
        <v>48717948.71794872</v>
      </c>
      <c r="E1084" s="26"/>
      <c r="F1084" s="184">
        <v>4.9999999999999996E-2</v>
      </c>
      <c r="G1084" s="177">
        <v>1310512820.5128205</v>
      </c>
      <c r="H1084" s="177">
        <v>708314000</v>
      </c>
      <c r="I1084" s="175">
        <v>1.8501862458073968</v>
      </c>
      <c r="J1084" s="177">
        <v>0</v>
      </c>
    </row>
    <row r="1085" spans="1:10">
      <c r="A1085" s="65">
        <v>3264</v>
      </c>
      <c r="B1085" s="175">
        <v>0.46</v>
      </c>
      <c r="C1085" s="184">
        <v>1</v>
      </c>
      <c r="D1085" s="177">
        <v>456521739.13043475</v>
      </c>
      <c r="E1085" s="26"/>
      <c r="F1085" s="184">
        <v>-8.4416666666666616E-3</v>
      </c>
      <c r="G1085" s="177">
        <v>11253260869.565216</v>
      </c>
      <c r="H1085" s="177">
        <v>6080322000</v>
      </c>
      <c r="I1085" s="175">
        <v>1.8507672569915239</v>
      </c>
      <c r="J1085" s="177">
        <v>13.396739130434781</v>
      </c>
    </row>
    <row r="1086" spans="1:10">
      <c r="A1086" s="65">
        <v>3546</v>
      </c>
      <c r="B1086" s="175">
        <v>-1.37</v>
      </c>
      <c r="C1086" s="184">
        <v>0.91803278688524592</v>
      </c>
      <c r="D1086" s="177">
        <v>34306569.343065694</v>
      </c>
      <c r="E1086" s="26"/>
      <c r="F1086" s="184">
        <v>2.2958333333333331E-2</v>
      </c>
      <c r="G1086" s="177">
        <v>1214452554.7445254</v>
      </c>
      <c r="H1086" s="177">
        <v>653250000</v>
      </c>
      <c r="I1086" s="175">
        <v>1.8590930803590133</v>
      </c>
      <c r="J1086" s="177">
        <v>0</v>
      </c>
    </row>
    <row r="1087" spans="1:10">
      <c r="A1087" s="65">
        <v>5878</v>
      </c>
      <c r="B1087" s="175">
        <v>0.49</v>
      </c>
      <c r="C1087" s="184">
        <v>0.81081081081081086</v>
      </c>
      <c r="D1087" s="177">
        <v>24489795.918367349</v>
      </c>
      <c r="E1087" s="26"/>
      <c r="F1087" s="184">
        <v>8.9408333333333354E-2</v>
      </c>
      <c r="G1087" s="177">
        <v>1083673469.3877552</v>
      </c>
      <c r="H1087" s="177">
        <v>581155000</v>
      </c>
      <c r="I1087" s="175">
        <v>1.864689229874569</v>
      </c>
      <c r="J1087" s="177">
        <v>27.844387755102041</v>
      </c>
    </row>
    <row r="1088" spans="1:10">
      <c r="A1088" s="65">
        <v>5312</v>
      </c>
      <c r="B1088" s="175">
        <v>1.45</v>
      </c>
      <c r="C1088" s="184">
        <v>0.12972972972972974</v>
      </c>
      <c r="D1088" s="177">
        <v>60000000</v>
      </c>
      <c r="E1088" s="26"/>
      <c r="F1088" s="184">
        <v>1.9166666666666657E-3</v>
      </c>
      <c r="G1088" s="177">
        <v>4680000000</v>
      </c>
      <c r="H1088" s="177">
        <v>2508747000</v>
      </c>
      <c r="I1088" s="175">
        <v>1.8654730827779764</v>
      </c>
      <c r="J1088" s="177">
        <v>50</v>
      </c>
    </row>
    <row r="1089" spans="1:10">
      <c r="A1089" s="65">
        <v>3498</v>
      </c>
      <c r="B1089" s="175">
        <v>1.32</v>
      </c>
      <c r="C1089" s="184">
        <v>1</v>
      </c>
      <c r="D1089" s="177">
        <v>77272727.272727266</v>
      </c>
      <c r="E1089" s="26"/>
      <c r="F1089" s="184">
        <v>0.11625833333333334</v>
      </c>
      <c r="G1089" s="177">
        <v>5973181818.1818171</v>
      </c>
      <c r="H1089" s="177">
        <v>3183359000</v>
      </c>
      <c r="I1089" s="175">
        <v>1.8763770652891543</v>
      </c>
      <c r="J1089" s="177">
        <v>14.640151515151514</v>
      </c>
    </row>
    <row r="1090" spans="1:10">
      <c r="A1090" s="65">
        <v>1308</v>
      </c>
      <c r="B1090" s="175">
        <v>0.36</v>
      </c>
      <c r="C1090" s="184">
        <v>0.49169435215946844</v>
      </c>
      <c r="D1090" s="177">
        <v>500000000</v>
      </c>
      <c r="E1090" s="26"/>
      <c r="F1090" s="184">
        <v>1.2541666666666665E-2</v>
      </c>
      <c r="G1090" s="177">
        <v>9275000000</v>
      </c>
      <c r="H1090" s="177">
        <v>4942352000</v>
      </c>
      <c r="I1090" s="175">
        <v>1.8766368724850031</v>
      </c>
      <c r="J1090" s="177">
        <v>26.199089714714717</v>
      </c>
    </row>
    <row r="1091" spans="1:10">
      <c r="A1091" s="65">
        <v>8080</v>
      </c>
      <c r="B1091" s="175">
        <v>-0.34</v>
      </c>
      <c r="C1091" s="184">
        <v>1</v>
      </c>
      <c r="D1091" s="177">
        <v>64705882.35294117</v>
      </c>
      <c r="E1091" s="26"/>
      <c r="F1091" s="184">
        <v>3.8666666666666663E-3</v>
      </c>
      <c r="G1091" s="177">
        <v>960882352.94117641</v>
      </c>
      <c r="H1091" s="177">
        <v>511271000</v>
      </c>
      <c r="I1091" s="175">
        <v>1.8793992871513863</v>
      </c>
      <c r="J1091" s="177">
        <v>0</v>
      </c>
    </row>
    <row r="1092" spans="1:10">
      <c r="A1092" s="65">
        <v>3363</v>
      </c>
      <c r="B1092" s="175">
        <v>-0.03</v>
      </c>
      <c r="C1092" s="184">
        <v>1</v>
      </c>
      <c r="D1092" s="177">
        <v>66666666.666666672</v>
      </c>
      <c r="E1092" s="26"/>
      <c r="F1092" s="184">
        <v>3.6716666666666668E-2</v>
      </c>
      <c r="G1092" s="177">
        <v>1753333333.3333335</v>
      </c>
      <c r="H1092" s="177">
        <v>931617000</v>
      </c>
      <c r="I1092" s="175">
        <v>1.8820323516352035</v>
      </c>
      <c r="J1092" s="177">
        <v>0</v>
      </c>
    </row>
    <row r="1093" spans="1:10">
      <c r="A1093" s="65">
        <v>6104</v>
      </c>
      <c r="B1093" s="175">
        <v>0.57999999999999996</v>
      </c>
      <c r="C1093" s="184">
        <v>1</v>
      </c>
      <c r="D1093" s="177">
        <v>89655172.413793117</v>
      </c>
      <c r="E1093" s="26"/>
      <c r="F1093" s="184">
        <v>-1.4575000000000003E-2</v>
      </c>
      <c r="G1093" s="177">
        <v>3523448275.8620691</v>
      </c>
      <c r="H1093" s="177">
        <v>1868776000</v>
      </c>
      <c r="I1093" s="175">
        <v>1.8854310392802931</v>
      </c>
      <c r="J1093" s="177">
        <v>16.939655172413794</v>
      </c>
    </row>
    <row r="1094" spans="1:10">
      <c r="A1094" s="65">
        <v>9930</v>
      </c>
      <c r="B1094" s="175">
        <v>0.92</v>
      </c>
      <c r="C1094" s="184">
        <v>1</v>
      </c>
      <c r="D1094" s="177">
        <v>225000000</v>
      </c>
      <c r="E1094" s="26"/>
      <c r="F1094" s="184">
        <v>3.0641666666666664E-2</v>
      </c>
      <c r="G1094" s="177">
        <v>14512500000</v>
      </c>
      <c r="H1094" s="177">
        <v>7648251000</v>
      </c>
      <c r="I1094" s="175">
        <v>1.8974926424355059</v>
      </c>
      <c r="J1094" s="177">
        <v>17.527173913043477</v>
      </c>
    </row>
    <row r="1095" spans="1:10">
      <c r="A1095" s="65">
        <v>3130</v>
      </c>
      <c r="B1095" s="175">
        <v>3.21</v>
      </c>
      <c r="C1095" s="184">
        <v>0.94285714285714284</v>
      </c>
      <c r="D1095" s="177">
        <v>33021806.853582554</v>
      </c>
      <c r="E1095" s="26"/>
      <c r="F1095" s="184">
        <v>5.6166666666666682E-3</v>
      </c>
      <c r="G1095" s="177">
        <v>4887227414.3302183</v>
      </c>
      <c r="H1095" s="177">
        <v>2572629000</v>
      </c>
      <c r="I1095" s="175">
        <v>1.8997015948783202</v>
      </c>
      <c r="J1095" s="177">
        <v>12.225054281129047</v>
      </c>
    </row>
    <row r="1096" spans="1:10">
      <c r="A1096" s="65">
        <v>3016</v>
      </c>
      <c r="B1096" s="175">
        <v>0.09</v>
      </c>
      <c r="C1096" s="184">
        <v>0</v>
      </c>
      <c r="D1096" s="177">
        <v>100000000</v>
      </c>
      <c r="E1096" s="26"/>
      <c r="F1096" s="184">
        <v>5.3083333333333385E-3</v>
      </c>
      <c r="G1096" s="177">
        <v>1639999999.9999998</v>
      </c>
      <c r="H1096" s="177">
        <v>861172000</v>
      </c>
      <c r="I1096" s="175">
        <v>1.9043814708327718</v>
      </c>
      <c r="J1096" s="177">
        <v>0</v>
      </c>
    </row>
    <row r="1097" spans="1:10">
      <c r="A1097" s="65">
        <v>5471</v>
      </c>
      <c r="B1097" s="175">
        <v>0.79</v>
      </c>
      <c r="C1097" s="184">
        <v>0.98529411764705888</v>
      </c>
      <c r="D1097" s="177">
        <v>168354430.37974682</v>
      </c>
      <c r="E1097" s="26"/>
      <c r="F1097" s="184">
        <v>1.8441666666666669E-2</v>
      </c>
      <c r="G1097" s="177">
        <v>6313291139.2405062</v>
      </c>
      <c r="H1097" s="177">
        <v>3314835000</v>
      </c>
      <c r="I1097" s="175">
        <v>1.9045566790626098</v>
      </c>
      <c r="J1097" s="177">
        <v>12.044209333081428</v>
      </c>
    </row>
    <row r="1098" spans="1:10">
      <c r="A1098" s="65">
        <v>3086</v>
      </c>
      <c r="B1098" s="175">
        <v>-0.52</v>
      </c>
      <c r="C1098" s="184">
        <v>0.93650793650793651</v>
      </c>
      <c r="D1098" s="177">
        <v>59615384.615384616</v>
      </c>
      <c r="E1098" s="26"/>
      <c r="F1098" s="184">
        <v>2.5208333333333333E-2</v>
      </c>
      <c r="G1098" s="177">
        <v>775000000</v>
      </c>
      <c r="H1098" s="177">
        <v>405786000</v>
      </c>
      <c r="I1098" s="175">
        <v>1.9098736772584564</v>
      </c>
      <c r="J1098" s="177">
        <v>0</v>
      </c>
    </row>
    <row r="1099" spans="1:10">
      <c r="A1099" s="65">
        <v>2612</v>
      </c>
      <c r="B1099" s="175">
        <v>-0.05</v>
      </c>
      <c r="C1099" s="184">
        <v>1</v>
      </c>
      <c r="D1099" s="177">
        <v>280000000</v>
      </c>
      <c r="E1099" s="26"/>
      <c r="F1099" s="184">
        <v>2.8333333333333395E-4</v>
      </c>
      <c r="G1099" s="177">
        <v>6552000000</v>
      </c>
      <c r="H1099" s="177">
        <v>3417666000</v>
      </c>
      <c r="I1099" s="175">
        <v>1.9170978088555173</v>
      </c>
      <c r="J1099" s="177">
        <v>0</v>
      </c>
    </row>
    <row r="1100" spans="1:10">
      <c r="A1100" s="65">
        <v>1720</v>
      </c>
      <c r="B1100" s="175">
        <v>0.42</v>
      </c>
      <c r="C1100" s="184">
        <v>0.76271186440677963</v>
      </c>
      <c r="D1100" s="177">
        <v>176190476.19047621</v>
      </c>
      <c r="E1100" s="26"/>
      <c r="F1100" s="184">
        <v>1.1008333333333337E-2</v>
      </c>
      <c r="G1100" s="177">
        <v>6307619047.6190481</v>
      </c>
      <c r="H1100" s="177">
        <v>3280510000</v>
      </c>
      <c r="I1100" s="175">
        <v>1.9227556226376534</v>
      </c>
      <c r="J1100" s="177">
        <v>27.939153439153436</v>
      </c>
    </row>
    <row r="1101" spans="1:10">
      <c r="A1101" s="65">
        <v>1560</v>
      </c>
      <c r="B1101" s="175">
        <v>1.1299999999999999</v>
      </c>
      <c r="C1101" s="184">
        <v>1</v>
      </c>
      <c r="D1101" s="177">
        <v>141592920.3539823</v>
      </c>
      <c r="E1101" s="26"/>
      <c r="F1101" s="184">
        <v>-7.7500000000000034E-3</v>
      </c>
      <c r="G1101" s="177">
        <v>7929203539.8230085</v>
      </c>
      <c r="H1101" s="177">
        <v>4109799000</v>
      </c>
      <c r="I1101" s="175">
        <v>1.9293409579940548</v>
      </c>
      <c r="J1101" s="177">
        <v>12.389380530973453</v>
      </c>
    </row>
    <row r="1102" spans="1:10">
      <c r="A1102" s="65">
        <v>2926</v>
      </c>
      <c r="B1102" s="175">
        <v>1.52</v>
      </c>
      <c r="C1102" s="184">
        <v>0.83050847457627119</v>
      </c>
      <c r="D1102" s="177">
        <v>45394736.842105262</v>
      </c>
      <c r="E1102" s="26"/>
      <c r="F1102" s="184">
        <v>3.9916666666666703E-3</v>
      </c>
      <c r="G1102" s="177">
        <v>6900000000</v>
      </c>
      <c r="H1102" s="177">
        <v>3575716000</v>
      </c>
      <c r="I1102" s="175">
        <v>1.9296834536076131</v>
      </c>
      <c r="J1102" s="177">
        <v>30.102040816326529</v>
      </c>
    </row>
    <row r="1103" spans="1:10">
      <c r="A1103" s="65">
        <v>6185</v>
      </c>
      <c r="B1103" s="175">
        <v>0.53</v>
      </c>
      <c r="C1103" s="184">
        <v>0.88721804511278191</v>
      </c>
      <c r="D1103" s="177">
        <v>115094339.6226415</v>
      </c>
      <c r="E1103" s="26"/>
      <c r="F1103" s="184">
        <v>8.3916666666666636E-3</v>
      </c>
      <c r="G1103" s="177">
        <v>2854339622.6415095</v>
      </c>
      <c r="H1103" s="177">
        <v>1476679000</v>
      </c>
      <c r="I1103" s="175">
        <v>1.9329452254968815</v>
      </c>
      <c r="J1103" s="177">
        <v>13.185161496642149</v>
      </c>
    </row>
    <row r="1104" spans="1:10">
      <c r="A1104" s="65">
        <v>2607</v>
      </c>
      <c r="B1104" s="175">
        <v>0.22</v>
      </c>
      <c r="C1104" s="184">
        <v>0.87822014051522246</v>
      </c>
      <c r="D1104" s="177">
        <v>1050000000</v>
      </c>
      <c r="E1104" s="26"/>
      <c r="F1104" s="184">
        <v>5.0833333333333347E-3</v>
      </c>
      <c r="G1104" s="177">
        <v>14280000000</v>
      </c>
      <c r="H1104" s="177">
        <v>7381868000</v>
      </c>
      <c r="I1104" s="175">
        <v>1.934469703332544</v>
      </c>
      <c r="J1104" s="177">
        <v>17.597575757575758</v>
      </c>
    </row>
    <row r="1105" spans="1:10">
      <c r="A1105" s="65">
        <v>4144</v>
      </c>
      <c r="B1105" s="175">
        <v>1.02</v>
      </c>
      <c r="C1105" s="184">
        <v>0.48717948717948717</v>
      </c>
      <c r="D1105" s="177">
        <v>78431372.549019605</v>
      </c>
      <c r="E1105" s="26"/>
      <c r="F1105" s="184">
        <v>5.1991666666666665E-2</v>
      </c>
      <c r="G1105" s="177">
        <v>5168627450.9803925</v>
      </c>
      <c r="H1105" s="177">
        <v>2667208000</v>
      </c>
      <c r="I1105" s="175">
        <v>1.9378419122094686</v>
      </c>
      <c r="J1105" s="177">
        <v>33.154024767801864</v>
      </c>
    </row>
    <row r="1106" spans="1:10">
      <c r="A1106" s="65">
        <v>5309</v>
      </c>
      <c r="B1106" s="175">
        <v>4.16</v>
      </c>
      <c r="C1106" s="184">
        <v>0</v>
      </c>
      <c r="D1106" s="177">
        <v>191826923.07692307</v>
      </c>
      <c r="E1106" s="26"/>
      <c r="F1106" s="184">
        <v>-6.5416666666666583E-3</v>
      </c>
      <c r="G1106" s="177">
        <v>3203509615.3846149</v>
      </c>
      <c r="H1106" s="177">
        <v>1652910000</v>
      </c>
      <c r="I1106" s="175">
        <v>1.9381028703224101</v>
      </c>
      <c r="J1106" s="177">
        <v>0</v>
      </c>
    </row>
    <row r="1107" spans="1:10">
      <c r="A1107" s="65">
        <v>6166</v>
      </c>
      <c r="B1107" s="175">
        <v>0.82</v>
      </c>
      <c r="C1107" s="184">
        <v>1</v>
      </c>
      <c r="D1107" s="177">
        <v>200000000</v>
      </c>
      <c r="E1107" s="26"/>
      <c r="F1107" s="184">
        <v>1.8141666666666664E-2</v>
      </c>
      <c r="G1107" s="177">
        <v>17520000000</v>
      </c>
      <c r="H1107" s="177">
        <v>8996272000</v>
      </c>
      <c r="I1107" s="175">
        <v>1.9474733534068334</v>
      </c>
      <c r="J1107" s="177">
        <v>26.707317073170731</v>
      </c>
    </row>
    <row r="1108" spans="1:10">
      <c r="A1108" s="65">
        <v>3577</v>
      </c>
      <c r="B1108" s="175">
        <v>0.42</v>
      </c>
      <c r="C1108" s="184">
        <v>1</v>
      </c>
      <c r="D1108" s="177">
        <v>42857142.857142858</v>
      </c>
      <c r="E1108" s="26"/>
      <c r="F1108" s="184">
        <v>3.5833333333333364E-3</v>
      </c>
      <c r="G1108" s="177">
        <v>1392857142.8571429</v>
      </c>
      <c r="H1108" s="177">
        <v>714823000</v>
      </c>
      <c r="I1108" s="175">
        <v>1.9485343124901451</v>
      </c>
      <c r="J1108" s="177">
        <v>19.345238095238095</v>
      </c>
    </row>
    <row r="1109" spans="1:10">
      <c r="A1109" s="65">
        <v>3022</v>
      </c>
      <c r="B1109" s="175">
        <v>0.99</v>
      </c>
      <c r="C1109" s="184">
        <v>0.57878787878787874</v>
      </c>
      <c r="D1109" s="177">
        <v>328282828.28282827</v>
      </c>
      <c r="E1109" s="26"/>
      <c r="F1109" s="184">
        <v>3.7041666666666667E-2</v>
      </c>
      <c r="G1109" s="177">
        <v>13361111111.111111</v>
      </c>
      <c r="H1109" s="177">
        <v>6848901000</v>
      </c>
      <c r="I1109" s="175">
        <v>1.9508401583131527</v>
      </c>
      <c r="J1109" s="177">
        <v>17.757417102966844</v>
      </c>
    </row>
    <row r="1110" spans="1:10">
      <c r="A1110" s="65">
        <v>8906</v>
      </c>
      <c r="B1110" s="175">
        <v>-0.08</v>
      </c>
      <c r="C1110" s="184">
        <v>0.83333333333333337</v>
      </c>
      <c r="D1110" s="177">
        <v>50000000</v>
      </c>
      <c r="E1110" s="26"/>
      <c r="F1110" s="184">
        <v>6.2608333333333335E-2</v>
      </c>
      <c r="G1110" s="177">
        <v>396500000</v>
      </c>
      <c r="H1110" s="177">
        <v>203242000</v>
      </c>
      <c r="I1110" s="175">
        <v>1.9508762952539338</v>
      </c>
      <c r="J1110" s="177">
        <v>0</v>
      </c>
    </row>
    <row r="1111" spans="1:10">
      <c r="A1111" s="65">
        <v>8222</v>
      </c>
      <c r="B1111" s="175">
        <v>0.31</v>
      </c>
      <c r="C1111" s="184">
        <v>1</v>
      </c>
      <c r="D1111" s="177">
        <v>67741935.483870968</v>
      </c>
      <c r="E1111" s="26"/>
      <c r="F1111" s="184">
        <v>3.2391666666666673E-2</v>
      </c>
      <c r="G1111" s="177">
        <v>1703709677.4193547</v>
      </c>
      <c r="H1111" s="177">
        <v>872656000</v>
      </c>
      <c r="I1111" s="175">
        <v>1.9523267787299401</v>
      </c>
      <c r="J1111" s="177">
        <v>20.282258064516128</v>
      </c>
    </row>
    <row r="1112" spans="1:10">
      <c r="A1112" s="65">
        <v>5457</v>
      </c>
      <c r="B1112" s="175">
        <v>0.26</v>
      </c>
      <c r="C1112" s="184">
        <v>1</v>
      </c>
      <c r="D1112" s="177">
        <v>165384615.38461539</v>
      </c>
      <c r="E1112" s="26"/>
      <c r="F1112" s="184">
        <v>2.4433333333333335E-2</v>
      </c>
      <c r="G1112" s="177">
        <v>4548076923.0769234</v>
      </c>
      <c r="H1112" s="177">
        <v>2323832000</v>
      </c>
      <c r="I1112" s="175">
        <v>1.9571453199185325</v>
      </c>
      <c r="J1112" s="177">
        <v>26.44230769230769</v>
      </c>
    </row>
    <row r="1113" spans="1:10">
      <c r="A1113" s="65">
        <v>2438</v>
      </c>
      <c r="B1113" s="175">
        <v>-0.12</v>
      </c>
      <c r="C1113" s="184">
        <v>1</v>
      </c>
      <c r="D1113" s="177">
        <v>75000000</v>
      </c>
      <c r="E1113" s="26"/>
      <c r="F1113" s="184">
        <v>3.4983333333333332E-2</v>
      </c>
      <c r="G1113" s="177">
        <v>1110000000</v>
      </c>
      <c r="H1113" s="177">
        <v>566107000</v>
      </c>
      <c r="I1113" s="175">
        <v>1.9607600683263058</v>
      </c>
      <c r="J1113" s="177">
        <v>0</v>
      </c>
    </row>
    <row r="1114" spans="1:10">
      <c r="A1114" s="65">
        <v>3615</v>
      </c>
      <c r="B1114" s="175">
        <v>7.0000000000000007E-2</v>
      </c>
      <c r="C1114" s="184">
        <v>0</v>
      </c>
      <c r="D1114" s="177">
        <v>71428571.428571418</v>
      </c>
      <c r="E1114" s="26"/>
      <c r="F1114" s="184">
        <v>2.5166666666666649E-3</v>
      </c>
      <c r="G1114" s="177">
        <v>1471428571.4285712</v>
      </c>
      <c r="H1114" s="177">
        <v>748790000</v>
      </c>
      <c r="I1114" s="175">
        <v>1.9650750830387307</v>
      </c>
      <c r="J1114" s="177">
        <v>0</v>
      </c>
    </row>
    <row r="1115" spans="1:10">
      <c r="A1115" s="65">
        <v>2640</v>
      </c>
      <c r="B1115" s="175">
        <v>1.51</v>
      </c>
      <c r="C1115" s="184">
        <v>1</v>
      </c>
      <c r="D1115" s="177">
        <v>41721854.304635763</v>
      </c>
      <c r="E1115" s="26"/>
      <c r="F1115" s="184">
        <v>1.5916666666666672E-3</v>
      </c>
      <c r="G1115" s="177">
        <v>3225099337.7483444</v>
      </c>
      <c r="H1115" s="177">
        <v>1638936000</v>
      </c>
      <c r="I1115" s="175">
        <v>1.9678006571021349</v>
      </c>
      <c r="J1115" s="177">
        <v>12.798013245033111</v>
      </c>
    </row>
    <row r="1116" spans="1:10">
      <c r="A1116" s="65">
        <v>4733</v>
      </c>
      <c r="B1116" s="175">
        <v>3.06</v>
      </c>
      <c r="C1116" s="184">
        <v>1</v>
      </c>
      <c r="D1116" s="177">
        <v>85947712.418300658</v>
      </c>
      <c r="E1116" s="26"/>
      <c r="F1116" s="184">
        <v>6.981666666666668E-2</v>
      </c>
      <c r="G1116" s="177">
        <v>19166339869.281048</v>
      </c>
      <c r="H1116" s="177">
        <v>9705331000</v>
      </c>
      <c r="I1116" s="175">
        <v>1.9748259867984974</v>
      </c>
      <c r="J1116" s="177">
        <v>18.218954248366014</v>
      </c>
    </row>
    <row r="1117" spans="1:10">
      <c r="A1117" s="65">
        <v>3054</v>
      </c>
      <c r="B1117" s="175">
        <v>-0.17</v>
      </c>
      <c r="C1117" s="184">
        <v>1</v>
      </c>
      <c r="D1117" s="177">
        <v>105882352.94117646</v>
      </c>
      <c r="E1117" s="26"/>
      <c r="F1117" s="184">
        <v>-5.9824999999999989E-2</v>
      </c>
      <c r="G1117" s="177">
        <v>1979999999.9999998</v>
      </c>
      <c r="H1117" s="177">
        <v>1001457000</v>
      </c>
      <c r="I1117" s="175">
        <v>1.9771193371258076</v>
      </c>
      <c r="J1117" s="177">
        <v>0</v>
      </c>
    </row>
    <row r="1118" spans="1:10">
      <c r="A1118" s="65">
        <v>5871</v>
      </c>
      <c r="B1118" s="175">
        <v>1.5</v>
      </c>
      <c r="C1118" s="184">
        <v>0.85597189695550346</v>
      </c>
      <c r="D1118" s="177">
        <v>1138000000</v>
      </c>
      <c r="E1118" s="26"/>
      <c r="F1118" s="184">
        <v>6.7749999999999989E-3</v>
      </c>
      <c r="G1118" s="177">
        <v>70328400000</v>
      </c>
      <c r="H1118" s="177">
        <v>35570248000</v>
      </c>
      <c r="I1118" s="175">
        <v>1.9771692342431799</v>
      </c>
      <c r="J1118" s="177">
        <v>12.03310533515732</v>
      </c>
    </row>
    <row r="1119" spans="1:10">
      <c r="A1119" s="65">
        <v>4419</v>
      </c>
      <c r="B1119" s="175">
        <v>-0.39</v>
      </c>
      <c r="C1119" s="184">
        <v>0.9</v>
      </c>
      <c r="D1119" s="177">
        <v>23076923.076923076</v>
      </c>
      <c r="E1119" s="26"/>
      <c r="F1119" s="184">
        <v>-9.9166666666666262E-4</v>
      </c>
      <c r="G1119" s="177">
        <v>165923076.92307693</v>
      </c>
      <c r="H1119" s="177">
        <v>83858000</v>
      </c>
      <c r="I1119" s="175">
        <v>1.9786195344877879</v>
      </c>
      <c r="J1119" s="177">
        <v>0</v>
      </c>
    </row>
    <row r="1120" spans="1:10">
      <c r="A1120" s="65">
        <v>8996</v>
      </c>
      <c r="B1120" s="175">
        <v>0.17</v>
      </c>
      <c r="C1120" s="184">
        <v>1</v>
      </c>
      <c r="D1120" s="177">
        <v>88235294.117647052</v>
      </c>
      <c r="E1120" s="26"/>
      <c r="F1120" s="184">
        <v>1.3258333333333336E-2</v>
      </c>
      <c r="G1120" s="177">
        <v>4155882352.9411764</v>
      </c>
      <c r="H1120" s="177">
        <v>2094677000</v>
      </c>
      <c r="I1120" s="175">
        <v>1.9840206165156615</v>
      </c>
      <c r="J1120" s="177">
        <v>50</v>
      </c>
    </row>
    <row r="1121" spans="1:11">
      <c r="A1121" s="65">
        <v>6216</v>
      </c>
      <c r="B1121" s="175">
        <v>1.05</v>
      </c>
      <c r="C1121" s="184">
        <v>1</v>
      </c>
      <c r="D1121" s="177">
        <v>77142857.142857134</v>
      </c>
      <c r="E1121" s="26"/>
      <c r="F1121" s="184">
        <v>3.6466666666666661E-2</v>
      </c>
      <c r="G1121" s="177">
        <v>2271857142.8571424</v>
      </c>
      <c r="H1121" s="177">
        <v>1144326000</v>
      </c>
      <c r="I1121" s="175">
        <v>1.9853233631475142</v>
      </c>
      <c r="J1121" s="177">
        <v>7.0119047619047619</v>
      </c>
    </row>
    <row r="1122" spans="1:11">
      <c r="A1122" s="65">
        <v>3684</v>
      </c>
      <c r="B1122" s="175">
        <v>1.1599999999999999</v>
      </c>
      <c r="C1122" s="184">
        <v>1</v>
      </c>
      <c r="D1122" s="177">
        <v>20689655.172413796</v>
      </c>
      <c r="E1122" s="26"/>
      <c r="F1122" s="184">
        <v>3.7074999999999997E-2</v>
      </c>
      <c r="G1122" s="177">
        <v>1338620689.6551726</v>
      </c>
      <c r="H1122" s="177">
        <v>671734000</v>
      </c>
      <c r="I1122" s="175">
        <v>1.9927838841791135</v>
      </c>
      <c r="J1122" s="177">
        <v>13.943965517241381</v>
      </c>
    </row>
    <row r="1123" spans="1:11">
      <c r="A1123" s="65">
        <v>3141</v>
      </c>
      <c r="B1123" s="175">
        <v>0.17</v>
      </c>
      <c r="C1123" s="184">
        <v>1</v>
      </c>
      <c r="D1123" s="177">
        <v>105882352.94117646</v>
      </c>
      <c r="E1123" s="26"/>
      <c r="F1123" s="184">
        <v>4.1600000000000005E-2</v>
      </c>
      <c r="G1123" s="177">
        <v>2117647058.8235292</v>
      </c>
      <c r="H1123" s="177">
        <v>1058698000</v>
      </c>
      <c r="I1123" s="175">
        <v>2.0002371392252836</v>
      </c>
      <c r="J1123" s="177">
        <v>29.411764705882351</v>
      </c>
    </row>
    <row r="1124" spans="1:11">
      <c r="A1124" s="65">
        <v>2501</v>
      </c>
      <c r="B1124" s="175">
        <v>0.2</v>
      </c>
      <c r="C1124" s="184">
        <v>0.99837398373983743</v>
      </c>
      <c r="D1124" s="177">
        <v>1675000000</v>
      </c>
      <c r="E1124" s="26"/>
      <c r="F1124" s="184">
        <v>0.45432499999999992</v>
      </c>
      <c r="G1124" s="177">
        <v>23617500000</v>
      </c>
      <c r="H1124" s="177">
        <v>11787682000</v>
      </c>
      <c r="I1124" s="175">
        <v>2.0035745789545389</v>
      </c>
      <c r="J1124" s="177">
        <v>17.653705211726383</v>
      </c>
    </row>
    <row r="1125" spans="1:11">
      <c r="A1125" s="65">
        <v>6147</v>
      </c>
      <c r="B1125" s="175">
        <v>0.65</v>
      </c>
      <c r="C1125" s="184">
        <v>1</v>
      </c>
      <c r="D1125" s="177">
        <v>643076923.07692301</v>
      </c>
      <c r="E1125" s="26"/>
      <c r="F1125" s="184">
        <v>-5.1166666666666669E-3</v>
      </c>
      <c r="G1125" s="177">
        <v>34726153846.153839</v>
      </c>
      <c r="H1125" s="177">
        <v>17294087000</v>
      </c>
      <c r="I1125" s="175">
        <v>2.0079784406169483</v>
      </c>
      <c r="J1125" s="177">
        <v>20.76923076923077</v>
      </c>
    </row>
    <row r="1126" spans="1:11">
      <c r="A1126" s="65">
        <v>8937</v>
      </c>
      <c r="B1126" s="175">
        <v>-0.06</v>
      </c>
      <c r="C1126" s="184">
        <v>0</v>
      </c>
      <c r="D1126" s="177">
        <v>66666666.666666672</v>
      </c>
      <c r="E1126" s="26"/>
      <c r="F1126" s="184">
        <v>0.14598333333333335</v>
      </c>
      <c r="G1126" s="177">
        <v>846666666.66666663</v>
      </c>
      <c r="H1126" s="177">
        <v>419725000</v>
      </c>
      <c r="I1126" s="175">
        <v>2.0171937975261578</v>
      </c>
      <c r="J1126" s="177">
        <v>0</v>
      </c>
    </row>
    <row r="1127" spans="1:11">
      <c r="A1127" s="65">
        <v>4977</v>
      </c>
      <c r="B1127" s="175">
        <v>0.96</v>
      </c>
      <c r="C1127" s="184">
        <v>0.75409836065573765</v>
      </c>
      <c r="D1127" s="177">
        <v>53125000</v>
      </c>
      <c r="E1127" s="26"/>
      <c r="F1127" s="184">
        <v>1.403333333333334E-2</v>
      </c>
      <c r="G1127" s="177">
        <v>3527500000.0000005</v>
      </c>
      <c r="H1127" s="177">
        <v>1739030000</v>
      </c>
      <c r="I1127" s="175">
        <v>2.0284296418118148</v>
      </c>
      <c r="J1127" s="177">
        <v>22.93025362318841</v>
      </c>
    </row>
    <row r="1128" spans="1:11">
      <c r="A1128" s="65">
        <v>3630</v>
      </c>
      <c r="B1128" s="175">
        <v>-1.93</v>
      </c>
      <c r="C1128" s="184">
        <v>1</v>
      </c>
      <c r="D1128" s="177">
        <v>101036269.43005182</v>
      </c>
      <c r="E1128" s="26"/>
      <c r="F1128" s="184">
        <v>4.7199999999999992E-2</v>
      </c>
      <c r="G1128" s="177">
        <v>1929792746.1139898</v>
      </c>
      <c r="H1128" s="177">
        <v>951131000</v>
      </c>
      <c r="I1128" s="175">
        <v>2.0289452726427695</v>
      </c>
      <c r="J1128" s="177">
        <v>0</v>
      </c>
    </row>
    <row r="1129" spans="1:11">
      <c r="A1129" s="65">
        <v>1516</v>
      </c>
      <c r="B1129" s="175">
        <v>-0.13</v>
      </c>
      <c r="C1129" s="184">
        <v>5.0632911392405063E-2</v>
      </c>
      <c r="D1129" s="177">
        <v>23076923.076923076</v>
      </c>
      <c r="E1129" s="26"/>
      <c r="F1129" s="184">
        <v>0.96293333333333342</v>
      </c>
      <c r="G1129" s="177">
        <v>521538461.53846157</v>
      </c>
      <c r="H1129" s="177">
        <v>256536000</v>
      </c>
      <c r="I1129" s="175">
        <v>2.0330030153212864</v>
      </c>
      <c r="J1129" s="177">
        <v>0</v>
      </c>
    </row>
    <row r="1130" spans="1:11">
      <c r="A1130" s="65">
        <v>1442</v>
      </c>
      <c r="B1130" s="175">
        <v>1.4</v>
      </c>
      <c r="C1130" s="184">
        <v>0.99709302325581395</v>
      </c>
      <c r="D1130" s="177">
        <v>218571428.5714286</v>
      </c>
      <c r="E1130" s="26"/>
      <c r="F1130" s="184">
        <v>1.4948250000000003</v>
      </c>
      <c r="G1130" s="177">
        <v>4141928571.4285717</v>
      </c>
      <c r="H1130" s="177">
        <v>2018221000</v>
      </c>
      <c r="I1130" s="175">
        <v>2.0522671062428604</v>
      </c>
      <c r="J1130" s="177">
        <v>3.3937942523948355</v>
      </c>
    </row>
    <row r="1131" spans="1:11">
      <c r="A1131" s="65">
        <v>2617</v>
      </c>
      <c r="B1131" s="175">
        <v>-0.08</v>
      </c>
      <c r="C1131" s="184">
        <v>1</v>
      </c>
      <c r="D1131" s="177">
        <v>412500000</v>
      </c>
      <c r="E1131" s="26"/>
      <c r="F1131" s="184">
        <v>-4.9333333333333312E-3</v>
      </c>
      <c r="G1131" s="177">
        <v>5651250000</v>
      </c>
      <c r="H1131" s="177">
        <v>2749981000</v>
      </c>
      <c r="I1131" s="175">
        <v>2.0550141982799155</v>
      </c>
      <c r="J1131" s="177">
        <v>0</v>
      </c>
    </row>
    <row r="1132" spans="1:11">
      <c r="A1132" s="65">
        <v>2605</v>
      </c>
      <c r="B1132" s="175">
        <v>0.33</v>
      </c>
      <c r="C1132" s="184">
        <v>0.99774266365688491</v>
      </c>
      <c r="D1132" s="177">
        <v>572727272.72727275</v>
      </c>
      <c r="E1132" s="26"/>
      <c r="F1132" s="184">
        <v>8.3750000000000022E-3</v>
      </c>
      <c r="G1132" s="177">
        <v>10337727272.727274</v>
      </c>
      <c r="H1132" s="177">
        <v>5022111000</v>
      </c>
      <c r="I1132" s="175">
        <v>2.0584426096371176</v>
      </c>
      <c r="J1132" s="177">
        <v>13.705179624297271</v>
      </c>
    </row>
    <row r="1133" spans="1:11">
      <c r="A1133" s="65">
        <v>3450</v>
      </c>
      <c r="B1133" s="175">
        <v>2.93</v>
      </c>
      <c r="C1133" s="184">
        <v>0.98257080610021785</v>
      </c>
      <c r="D1133" s="177">
        <v>92150170.648464158</v>
      </c>
      <c r="E1133" s="26"/>
      <c r="F1133" s="184">
        <v>2.1491666666666659E-2</v>
      </c>
      <c r="G1133" s="177">
        <v>14052901023.890783</v>
      </c>
      <c r="H1133" s="177">
        <v>6826774000</v>
      </c>
      <c r="I1133" s="175">
        <v>2.0584980583641386</v>
      </c>
      <c r="J1133" s="177">
        <v>13.242755953777348</v>
      </c>
    </row>
    <row r="1134" spans="1:11">
      <c r="A1134" s="65">
        <v>3374</v>
      </c>
      <c r="B1134" s="175">
        <v>0.42</v>
      </c>
      <c r="C1134" s="184">
        <v>1</v>
      </c>
      <c r="D1134" s="177">
        <v>266666666.66666669</v>
      </c>
      <c r="E1134" s="26"/>
      <c r="F1134" s="184">
        <v>6.0250000000000026E-3</v>
      </c>
      <c r="G1134" s="177">
        <v>10893333333.333334</v>
      </c>
      <c r="H1134" s="177">
        <v>5289676000</v>
      </c>
      <c r="I1134" s="175">
        <v>2.0593573847119058</v>
      </c>
      <c r="J1134" s="177">
        <v>24.315476190476193</v>
      </c>
    </row>
    <row r="1135" spans="1:11">
      <c r="A1135" s="65">
        <v>4153</v>
      </c>
      <c r="B1135" s="175">
        <v>1.19</v>
      </c>
      <c r="C1135" s="184">
        <v>1</v>
      </c>
      <c r="D1135" s="177">
        <v>31092436.974789917</v>
      </c>
      <c r="E1135" s="26"/>
      <c r="F1135" s="184">
        <v>2.0475000000000007E-2</v>
      </c>
      <c r="G1135" s="177">
        <v>2636638655.4621849</v>
      </c>
      <c r="H1135" s="177">
        <v>1279718000</v>
      </c>
      <c r="I1135" s="175">
        <v>2.0603278655627135</v>
      </c>
      <c r="J1135" s="177">
        <v>17.815126050420169</v>
      </c>
    </row>
    <row r="1136" spans="1:11">
      <c r="A1136" s="65">
        <v>2308</v>
      </c>
      <c r="B1136" s="175">
        <v>2.42</v>
      </c>
      <c r="C1136" s="184">
        <v>0.79894598155467722</v>
      </c>
      <c r="D1136" s="177">
        <v>2436363636.3636365</v>
      </c>
      <c r="E1136" s="26"/>
      <c r="F1136" s="184">
        <v>1.8400000000000003E-2</v>
      </c>
      <c r="G1136" s="177">
        <v>406872727272.72729</v>
      </c>
      <c r="H1136" s="177">
        <v>197376338000</v>
      </c>
      <c r="I1136" s="175">
        <v>2.0614057966397539</v>
      </c>
      <c r="J1136" s="177">
        <v>21.593532621731828</v>
      </c>
      <c r="K1136" s="32"/>
    </row>
    <row r="1137" spans="1:10">
      <c r="A1137" s="65">
        <v>4205</v>
      </c>
      <c r="B1137" s="175">
        <v>0.6</v>
      </c>
      <c r="C1137" s="184">
        <v>0.97435897435897434</v>
      </c>
      <c r="D1137" s="177">
        <v>71666666.666666672</v>
      </c>
      <c r="E1137" s="26"/>
      <c r="F1137" s="184">
        <v>1.313333333333333E-2</v>
      </c>
      <c r="G1137" s="177">
        <v>2666000000.0000005</v>
      </c>
      <c r="H1137" s="177">
        <v>1292860000</v>
      </c>
      <c r="I1137" s="175">
        <v>2.0620948903980327</v>
      </c>
      <c r="J1137" s="177">
        <v>15.907894736842108</v>
      </c>
    </row>
    <row r="1138" spans="1:10">
      <c r="A1138" s="65">
        <v>1722</v>
      </c>
      <c r="B1138" s="175">
        <v>0.14000000000000001</v>
      </c>
      <c r="C1138" s="184">
        <v>1</v>
      </c>
      <c r="D1138" s="177">
        <v>957142857.14285707</v>
      </c>
      <c r="E1138" s="26"/>
      <c r="F1138" s="184">
        <v>0.29688333333333333</v>
      </c>
      <c r="G1138" s="177">
        <v>40391428571.428574</v>
      </c>
      <c r="H1138" s="177">
        <v>19510011000</v>
      </c>
      <c r="I1138" s="175">
        <v>2.070292455059537</v>
      </c>
      <c r="J1138" s="177">
        <v>50</v>
      </c>
    </row>
    <row r="1139" spans="1:10">
      <c r="A1139" s="65">
        <v>2236</v>
      </c>
      <c r="B1139" s="175">
        <v>0.05</v>
      </c>
      <c r="C1139" s="184">
        <v>1</v>
      </c>
      <c r="D1139" s="177">
        <v>40000000</v>
      </c>
      <c r="E1139" s="26"/>
      <c r="F1139" s="184">
        <v>-0.10349999999999999</v>
      </c>
      <c r="G1139" s="177">
        <v>1548000000</v>
      </c>
      <c r="H1139" s="177">
        <v>746799000</v>
      </c>
      <c r="I1139" s="175">
        <v>2.0728469106145027</v>
      </c>
      <c r="J1139" s="177">
        <v>50</v>
      </c>
    </row>
    <row r="1140" spans="1:10">
      <c r="A1140" s="65">
        <v>1477</v>
      </c>
      <c r="B1140" s="175">
        <v>2.1800000000000002</v>
      </c>
      <c r="C1140" s="184">
        <v>1</v>
      </c>
      <c r="D1140" s="177">
        <v>198623853.21100917</v>
      </c>
      <c r="E1140" s="26"/>
      <c r="F1140" s="184">
        <v>3.1958333333333332E-2</v>
      </c>
      <c r="G1140" s="177">
        <v>47868348623.85321</v>
      </c>
      <c r="H1140" s="177">
        <v>23054079000</v>
      </c>
      <c r="I1140" s="175">
        <v>2.0763505071641859</v>
      </c>
      <c r="J1140" s="177">
        <v>27.63761467889908</v>
      </c>
    </row>
    <row r="1141" spans="1:10">
      <c r="A1141" s="65">
        <v>8079</v>
      </c>
      <c r="B1141" s="175">
        <v>0.35</v>
      </c>
      <c r="C1141" s="184">
        <v>0.93333333333333335</v>
      </c>
      <c r="D1141" s="177">
        <v>80000000</v>
      </c>
      <c r="E1141" s="26"/>
      <c r="F1141" s="184">
        <v>7.4166666666666662E-4</v>
      </c>
      <c r="G1141" s="177">
        <v>1032000000</v>
      </c>
      <c r="H1141" s="177">
        <v>495704000</v>
      </c>
      <c r="I1141" s="175">
        <v>2.0818875780707842</v>
      </c>
      <c r="J1141" s="177">
        <v>9.8724489795918373</v>
      </c>
    </row>
    <row r="1142" spans="1:10">
      <c r="A1142" s="65">
        <v>9910</v>
      </c>
      <c r="B1142" s="175">
        <v>1.64</v>
      </c>
      <c r="C1142" s="184">
        <v>0.8423373759647188</v>
      </c>
      <c r="D1142" s="177">
        <v>595121951.21951222</v>
      </c>
      <c r="E1142" s="26"/>
      <c r="F1142" s="184">
        <v>2.7183333333333337E-2</v>
      </c>
      <c r="G1142" s="177">
        <v>112478048780.48781</v>
      </c>
      <c r="H1142" s="177">
        <v>53970878000</v>
      </c>
      <c r="I1142" s="175">
        <v>2.0840507501191254</v>
      </c>
      <c r="J1142" s="177">
        <v>34.203605861320398</v>
      </c>
    </row>
    <row r="1143" spans="1:10">
      <c r="A1143" s="65">
        <v>1595</v>
      </c>
      <c r="B1143" s="175">
        <v>1.32</v>
      </c>
      <c r="C1143" s="184">
        <v>1</v>
      </c>
      <c r="D1143" s="177">
        <v>38636363.636363633</v>
      </c>
      <c r="E1143" s="26"/>
      <c r="F1143" s="184">
        <v>-7.6666666666666888E-3</v>
      </c>
      <c r="G1143" s="177">
        <v>2372272727.272727</v>
      </c>
      <c r="H1143" s="177">
        <v>1137962000</v>
      </c>
      <c r="I1143" s="175">
        <v>2.0846677896737562</v>
      </c>
      <c r="J1143" s="177">
        <v>11.628787878787877</v>
      </c>
    </row>
    <row r="1144" spans="1:10">
      <c r="A1144" s="65">
        <v>3523</v>
      </c>
      <c r="B1144" s="175">
        <v>-0.71</v>
      </c>
      <c r="C1144" s="184">
        <v>0.77165354330708658</v>
      </c>
      <c r="D1144" s="177">
        <v>95774647.887323946</v>
      </c>
      <c r="E1144" s="26"/>
      <c r="F1144" s="184">
        <v>-5.9674999999999999E-2</v>
      </c>
      <c r="G1144" s="177">
        <v>2174084507.0422535</v>
      </c>
      <c r="H1144" s="177">
        <v>1041405000</v>
      </c>
      <c r="I1144" s="175">
        <v>2.0876455433210457</v>
      </c>
      <c r="J1144" s="177">
        <v>0</v>
      </c>
    </row>
    <row r="1145" spans="1:10">
      <c r="A1145" s="65">
        <v>3490</v>
      </c>
      <c r="B1145" s="175">
        <v>2.59</v>
      </c>
      <c r="C1145" s="184">
        <v>1</v>
      </c>
      <c r="D1145" s="177">
        <v>62548262.548262551</v>
      </c>
      <c r="E1145" s="26"/>
      <c r="F1145" s="184">
        <v>-2.7124999999999993E-2</v>
      </c>
      <c r="G1145" s="177">
        <v>5429189189.189189</v>
      </c>
      <c r="H1145" s="177">
        <v>2597186000</v>
      </c>
      <c r="I1145" s="175">
        <v>2.0904121573076355</v>
      </c>
      <c r="J1145" s="177">
        <v>8.378378378378379</v>
      </c>
    </row>
    <row r="1146" spans="1:10">
      <c r="A1146" s="65">
        <v>1340</v>
      </c>
      <c r="B1146" s="175">
        <v>2.5099999999999998</v>
      </c>
      <c r="C1146" s="184">
        <v>0.93600000000000005</v>
      </c>
      <c r="D1146" s="177">
        <v>88446215.139442235</v>
      </c>
      <c r="E1146" s="26"/>
      <c r="F1146" s="184">
        <v>5.531666666666666E-2</v>
      </c>
      <c r="G1146" s="177">
        <v>6686533864.5418329</v>
      </c>
      <c r="H1146" s="177">
        <v>3195638000</v>
      </c>
      <c r="I1146" s="175">
        <v>2.0923940272777557</v>
      </c>
      <c r="J1146" s="177">
        <v>8.0447441005209921</v>
      </c>
    </row>
    <row r="1147" spans="1:10">
      <c r="A1147" s="65">
        <v>5607</v>
      </c>
      <c r="B1147" s="175">
        <v>0.25</v>
      </c>
      <c r="C1147" s="184">
        <v>1</v>
      </c>
      <c r="D1147" s="177">
        <v>172000000</v>
      </c>
      <c r="E1147" s="26"/>
      <c r="F1147" s="184">
        <v>-6.666666666666712E-4</v>
      </c>
      <c r="G1147" s="177">
        <v>2666000000</v>
      </c>
      <c r="H1147" s="177">
        <v>1272963000</v>
      </c>
      <c r="I1147" s="175">
        <v>2.0943263865485484</v>
      </c>
      <c r="J1147" s="177">
        <v>15.5</v>
      </c>
    </row>
    <row r="1148" spans="1:10">
      <c r="A1148" s="65">
        <v>9914</v>
      </c>
      <c r="B1148" s="175">
        <v>1.96</v>
      </c>
      <c r="C1148" s="184">
        <v>0.77657098525989143</v>
      </c>
      <c r="D1148" s="177">
        <v>298979591.83673471</v>
      </c>
      <c r="E1148" s="26"/>
      <c r="F1148" s="184">
        <v>2.6625000000000006E-2</v>
      </c>
      <c r="G1148" s="177">
        <v>60393877551.020409</v>
      </c>
      <c r="H1148" s="177">
        <v>28799129000</v>
      </c>
      <c r="I1148" s="175">
        <v>2.0970730590852384</v>
      </c>
      <c r="J1148" s="177">
        <v>33.178301290546187</v>
      </c>
    </row>
    <row r="1149" spans="1:10">
      <c r="A1149" s="65">
        <v>3705</v>
      </c>
      <c r="B1149" s="175">
        <v>0.63</v>
      </c>
      <c r="C1149" s="184">
        <v>0.77260273972602744</v>
      </c>
      <c r="D1149" s="177">
        <v>266666666.66666666</v>
      </c>
      <c r="E1149" s="26"/>
      <c r="F1149" s="184">
        <v>8.3166666666666684E-3</v>
      </c>
      <c r="G1149" s="177">
        <v>12586666666.666666</v>
      </c>
      <c r="H1149" s="177">
        <v>5990657000</v>
      </c>
      <c r="I1149" s="175">
        <v>2.1010494619649673</v>
      </c>
      <c r="J1149" s="177">
        <v>24.242935945063603</v>
      </c>
    </row>
    <row r="1150" spans="1:10">
      <c r="A1150" s="65">
        <v>8383</v>
      </c>
      <c r="B1150" s="175">
        <v>0.62</v>
      </c>
      <c r="C1150" s="184">
        <v>1</v>
      </c>
      <c r="D1150" s="177">
        <v>116129032.25806452</v>
      </c>
      <c r="E1150" s="26"/>
      <c r="F1150" s="184">
        <v>2.5283333333333338E-2</v>
      </c>
      <c r="G1150" s="177">
        <v>6375483870.967742</v>
      </c>
      <c r="H1150" s="177">
        <v>3031172000</v>
      </c>
      <c r="I1150" s="175">
        <v>2.1033065332378835</v>
      </c>
      <c r="J1150" s="177">
        <v>22.137096774193548</v>
      </c>
    </row>
    <row r="1151" spans="1:10">
      <c r="A1151" s="65">
        <v>3003</v>
      </c>
      <c r="B1151" s="175">
        <v>0.54</v>
      </c>
      <c r="C1151" s="184">
        <v>1</v>
      </c>
      <c r="D1151" s="177">
        <v>151851851.85185185</v>
      </c>
      <c r="E1151" s="26"/>
      <c r="F1151" s="184">
        <v>1.4208333333333331E-2</v>
      </c>
      <c r="G1151" s="177">
        <v>6263888888.8888893</v>
      </c>
      <c r="H1151" s="177">
        <v>2972541000</v>
      </c>
      <c r="I1151" s="175">
        <v>2.1072506279606871</v>
      </c>
      <c r="J1151" s="177">
        <v>19.097222222222221</v>
      </c>
    </row>
    <row r="1152" spans="1:10">
      <c r="A1152" s="65">
        <v>1234</v>
      </c>
      <c r="B1152" s="180">
        <v>0.38</v>
      </c>
      <c r="C1152" s="184">
        <v>0</v>
      </c>
      <c r="D1152" s="181">
        <v>402631578.94736844</v>
      </c>
      <c r="E1152" s="179"/>
      <c r="F1152" s="184">
        <v>7.3333333333333375E-3</v>
      </c>
      <c r="G1152" s="181">
        <v>12984868421.052631</v>
      </c>
      <c r="H1152" s="181">
        <v>6156739000</v>
      </c>
      <c r="I1152" s="180">
        <v>2.1090496805293566</v>
      </c>
      <c r="J1152" s="181">
        <v>0</v>
      </c>
    </row>
    <row r="1153" spans="1:10">
      <c r="A1153" s="65">
        <v>1453</v>
      </c>
      <c r="B1153" s="175">
        <v>1.01</v>
      </c>
      <c r="C1153" s="184">
        <v>0.97222222222222221</v>
      </c>
      <c r="D1153" s="177">
        <v>88118811.881188124</v>
      </c>
      <c r="E1153" s="26"/>
      <c r="F1153" s="184">
        <v>1.6345916666666664</v>
      </c>
      <c r="G1153" s="177">
        <v>766633663.36633658</v>
      </c>
      <c r="H1153" s="177">
        <v>362228000</v>
      </c>
      <c r="I1153" s="175">
        <v>2.1164395446137143</v>
      </c>
      <c r="J1153" s="177">
        <v>2.2149929278642149</v>
      </c>
    </row>
    <row r="1154" spans="1:10">
      <c r="A1154" s="65">
        <v>2441</v>
      </c>
      <c r="B1154" s="175">
        <v>0.88</v>
      </c>
      <c r="C1154" s="184">
        <v>0.99198396793587174</v>
      </c>
      <c r="D1154" s="177">
        <v>569318181.81818187</v>
      </c>
      <c r="E1154" s="26"/>
      <c r="F1154" s="184">
        <v>7.250000000000057E-4</v>
      </c>
      <c r="G1154" s="177">
        <v>19926136363.636364</v>
      </c>
      <c r="H1154" s="177">
        <v>9388456000</v>
      </c>
      <c r="I1154" s="175">
        <v>2.1224082387600651</v>
      </c>
      <c r="J1154" s="177">
        <v>10.023530762167125</v>
      </c>
    </row>
    <row r="1155" spans="1:10">
      <c r="A1155" s="65">
        <v>2539</v>
      </c>
      <c r="B1155" s="175">
        <v>2.72</v>
      </c>
      <c r="C1155" s="184">
        <v>1</v>
      </c>
      <c r="D1155" s="177">
        <v>238602941.17647058</v>
      </c>
      <c r="E1155" s="26"/>
      <c r="F1155" s="184">
        <v>3.3895416666666676</v>
      </c>
      <c r="G1155" s="177">
        <v>5738400735.2941179</v>
      </c>
      <c r="H1155" s="177">
        <v>2691147000</v>
      </c>
      <c r="I1155" s="175">
        <v>2.1323252632777465</v>
      </c>
      <c r="J1155" s="177">
        <v>2.2104779411764706</v>
      </c>
    </row>
    <row r="1156" spans="1:10">
      <c r="A1156" s="65">
        <v>2408</v>
      </c>
      <c r="B1156" s="175">
        <v>1.75</v>
      </c>
      <c r="C1156" s="184">
        <v>0.77389984825493174</v>
      </c>
      <c r="D1156" s="177">
        <v>2430857142.8571429</v>
      </c>
      <c r="E1156" s="26"/>
      <c r="F1156" s="184">
        <v>-1.5033333333333336E-2</v>
      </c>
      <c r="G1156" s="177">
        <v>96505028571.428574</v>
      </c>
      <c r="H1156" s="177">
        <v>45188145000</v>
      </c>
      <c r="I1156" s="175">
        <v>2.1356271334313144</v>
      </c>
      <c r="J1156" s="177">
        <v>7.3283753501400559</v>
      </c>
    </row>
    <row r="1157" spans="1:10">
      <c r="A1157" s="65">
        <v>3289</v>
      </c>
      <c r="B1157" s="175">
        <v>2.52</v>
      </c>
      <c r="C1157" s="184">
        <v>0</v>
      </c>
      <c r="D1157" s="177">
        <v>46428571.428571425</v>
      </c>
      <c r="E1157" s="26"/>
      <c r="F1157" s="184">
        <v>8.1000000000000013E-3</v>
      </c>
      <c r="G1157" s="177">
        <v>4229642857.1428566</v>
      </c>
      <c r="H1157" s="177">
        <v>1978448000</v>
      </c>
      <c r="I1157" s="175">
        <v>2.1378589971244413</v>
      </c>
      <c r="J1157" s="177">
        <v>0</v>
      </c>
    </row>
    <row r="1158" spans="1:10">
      <c r="A1158" s="65">
        <v>3085</v>
      </c>
      <c r="B1158" s="175">
        <v>-0.02</v>
      </c>
      <c r="C1158" s="184">
        <v>1</v>
      </c>
      <c r="D1158" s="177">
        <v>100000000</v>
      </c>
      <c r="E1158" s="26"/>
      <c r="F1158" s="184">
        <v>7.3166666666666727E-3</v>
      </c>
      <c r="G1158" s="177">
        <v>736000000</v>
      </c>
      <c r="H1158" s="177">
        <v>341496000</v>
      </c>
      <c r="I1158" s="175">
        <v>2.155222901585963</v>
      </c>
      <c r="J1158" s="177">
        <v>0</v>
      </c>
    </row>
    <row r="1159" spans="1:10">
      <c r="A1159" s="65">
        <v>3416</v>
      </c>
      <c r="B1159" s="175">
        <v>0.76</v>
      </c>
      <c r="C1159" s="184">
        <v>1</v>
      </c>
      <c r="D1159" s="177">
        <v>60526315.789473683</v>
      </c>
      <c r="E1159" s="26"/>
      <c r="F1159" s="184">
        <v>2.8616666666666669E-2</v>
      </c>
      <c r="G1159" s="177">
        <v>3256315789.4736838</v>
      </c>
      <c r="H1159" s="177">
        <v>1508015000</v>
      </c>
      <c r="I1159" s="175">
        <v>2.159339124261817</v>
      </c>
      <c r="J1159" s="177">
        <v>17.69736842105263</v>
      </c>
    </row>
    <row r="1160" spans="1:10">
      <c r="A1160" s="65">
        <v>4746</v>
      </c>
      <c r="B1160" s="175">
        <v>0.2</v>
      </c>
      <c r="C1160" s="184">
        <v>1</v>
      </c>
      <c r="D1160" s="177">
        <v>85000000</v>
      </c>
      <c r="E1160" s="26"/>
      <c r="F1160" s="184">
        <v>0.12566666666666668</v>
      </c>
      <c r="G1160" s="177">
        <v>5117000000</v>
      </c>
      <c r="H1160" s="177">
        <v>2368238000</v>
      </c>
      <c r="I1160" s="175">
        <v>2.1606781075212882</v>
      </c>
      <c r="J1160" s="177">
        <v>50</v>
      </c>
    </row>
    <row r="1161" spans="1:10">
      <c r="A1161" s="65">
        <v>9925</v>
      </c>
      <c r="B1161" s="175">
        <v>0.85</v>
      </c>
      <c r="C1161" s="184">
        <v>0.66064981949458479</v>
      </c>
      <c r="D1161" s="177">
        <v>382352941.17647058</v>
      </c>
      <c r="E1161" s="26"/>
      <c r="F1161" s="184">
        <v>-1.6666666666667287E-5</v>
      </c>
      <c r="G1161" s="177">
        <v>15007352941.17647</v>
      </c>
      <c r="H1161" s="177">
        <v>6930564000</v>
      </c>
      <c r="I1161" s="175">
        <v>2.1653869643475581</v>
      </c>
      <c r="J1161" s="177">
        <v>17.473882995821281</v>
      </c>
    </row>
    <row r="1162" spans="1:10">
      <c r="A1162" s="65">
        <v>2454</v>
      </c>
      <c r="B1162" s="175">
        <v>4.0599999999999996</v>
      </c>
      <c r="C1162" s="184">
        <v>0.92553034767236297</v>
      </c>
      <c r="D1162" s="177">
        <v>1564039408.8669953</v>
      </c>
      <c r="E1162" s="26"/>
      <c r="F1162" s="184">
        <v>5.1891666666666676E-2</v>
      </c>
      <c r="G1162" s="177">
        <v>450443349753.69464</v>
      </c>
      <c r="H1162" s="177">
        <v>207627619000</v>
      </c>
      <c r="I1162" s="175">
        <v>2.1694770277825834</v>
      </c>
      <c r="J1162" s="177">
        <v>19.16089536381261</v>
      </c>
    </row>
    <row r="1163" spans="1:10">
      <c r="A1163" s="65">
        <v>2608</v>
      </c>
      <c r="B1163" s="175">
        <v>0.89</v>
      </c>
      <c r="C1163" s="184">
        <v>0.64040114613180521</v>
      </c>
      <c r="D1163" s="177">
        <v>485393258.42696631</v>
      </c>
      <c r="E1163" s="26"/>
      <c r="F1163" s="184">
        <v>1.6850000000000004E-2</v>
      </c>
      <c r="G1163" s="177">
        <v>18808988764.044945</v>
      </c>
      <c r="H1163" s="177">
        <v>8662839000</v>
      </c>
      <c r="I1163" s="175">
        <v>2.1712268650086819</v>
      </c>
      <c r="J1163" s="177">
        <v>16.9968956589498</v>
      </c>
    </row>
    <row r="1164" spans="1:10">
      <c r="A1164" s="65">
        <v>3623</v>
      </c>
      <c r="B1164" s="175">
        <v>0.7</v>
      </c>
      <c r="C1164" s="184">
        <v>1</v>
      </c>
      <c r="D1164" s="177">
        <v>58571428.571428575</v>
      </c>
      <c r="E1164" s="26"/>
      <c r="F1164" s="184">
        <v>2.0000000000000031E-3</v>
      </c>
      <c r="G1164" s="177">
        <v>2208142857.1428576</v>
      </c>
      <c r="H1164" s="177">
        <v>1013502000</v>
      </c>
      <c r="I1164" s="175">
        <v>2.1787257027049356</v>
      </c>
      <c r="J1164" s="177">
        <v>13.464285714285715</v>
      </c>
    </row>
    <row r="1165" spans="1:10">
      <c r="A1165" s="65">
        <v>2101</v>
      </c>
      <c r="B1165" s="175">
        <v>0.37</v>
      </c>
      <c r="C1165" s="184">
        <v>0.66417910447761197</v>
      </c>
      <c r="D1165" s="177">
        <v>843243243.24324322</v>
      </c>
      <c r="E1165" s="26"/>
      <c r="F1165" s="184">
        <v>-9.2499999999999473E-4</v>
      </c>
      <c r="G1165" s="177">
        <v>24032432432.43243</v>
      </c>
      <c r="H1165" s="177">
        <v>11022507000</v>
      </c>
      <c r="I1165" s="175">
        <v>2.1803054815417608</v>
      </c>
      <c r="J1165" s="177">
        <v>28.993319161858487</v>
      </c>
    </row>
    <row r="1166" spans="1:10">
      <c r="A1166" s="65">
        <v>6263</v>
      </c>
      <c r="B1166" s="175">
        <v>1.1000000000000001</v>
      </c>
      <c r="C1166" s="184">
        <v>0.93846153846153846</v>
      </c>
      <c r="D1166" s="177">
        <v>60909090.909090906</v>
      </c>
      <c r="E1166" s="26"/>
      <c r="F1166" s="184">
        <v>1.5683333333333334E-2</v>
      </c>
      <c r="G1166" s="177">
        <v>2853590909.090909</v>
      </c>
      <c r="H1166" s="177">
        <v>1303004000</v>
      </c>
      <c r="I1166" s="175">
        <v>2.1900093239091429</v>
      </c>
      <c r="J1166" s="177">
        <v>11.345938897168406</v>
      </c>
    </row>
    <row r="1167" spans="1:10">
      <c r="A1167" s="65">
        <v>3227</v>
      </c>
      <c r="B1167" s="175">
        <v>0.51</v>
      </c>
      <c r="C1167" s="184">
        <v>0.73571428571428577</v>
      </c>
      <c r="D1167" s="177">
        <v>127450980.39215685</v>
      </c>
      <c r="E1167" s="26"/>
      <c r="F1167" s="184">
        <v>-2.5666666666666663E-3</v>
      </c>
      <c r="G1167" s="177">
        <v>9495098039.2156849</v>
      </c>
      <c r="H1167" s="177">
        <v>4315744000</v>
      </c>
      <c r="I1167" s="175">
        <v>2.2001068736272784</v>
      </c>
      <c r="J1167" s="177">
        <v>49.638301922710831</v>
      </c>
    </row>
    <row r="1168" spans="1:10">
      <c r="A1168" s="65">
        <v>1103</v>
      </c>
      <c r="B1168" s="180">
        <v>0.17</v>
      </c>
      <c r="C1168" s="184">
        <v>1</v>
      </c>
      <c r="D1168" s="181">
        <v>635294117.64705873</v>
      </c>
      <c r="E1168" s="32"/>
      <c r="F1168" s="184">
        <v>-1.125000000000001E-3</v>
      </c>
      <c r="G1168" s="181">
        <v>6797647058.8235283</v>
      </c>
      <c r="H1168" s="181">
        <v>3077866000</v>
      </c>
      <c r="I1168" s="180">
        <v>2.2085584813710306</v>
      </c>
      <c r="J1168" s="181">
        <v>15.735294117647056</v>
      </c>
    </row>
    <row r="1169" spans="1:10">
      <c r="A1169" s="65">
        <v>4113</v>
      </c>
      <c r="B1169" s="175">
        <v>0.16</v>
      </c>
      <c r="C1169" s="184">
        <v>1</v>
      </c>
      <c r="D1169" s="177">
        <v>150000000</v>
      </c>
      <c r="E1169" s="26"/>
      <c r="F1169" s="184">
        <v>4.3901333333333339</v>
      </c>
      <c r="G1169" s="177">
        <v>1567500000</v>
      </c>
      <c r="H1169" s="177">
        <v>707890000</v>
      </c>
      <c r="I1169" s="175">
        <v>2.2143270847165519</v>
      </c>
      <c r="J1169" s="177">
        <v>16.328125</v>
      </c>
    </row>
    <row r="1170" spans="1:10">
      <c r="A1170" s="65">
        <v>1470</v>
      </c>
      <c r="B1170" s="175">
        <v>0.12</v>
      </c>
      <c r="C1170" s="184">
        <v>1</v>
      </c>
      <c r="D1170" s="177">
        <v>91666666.666666672</v>
      </c>
      <c r="E1170" s="26"/>
      <c r="F1170" s="184">
        <v>2.0375000000000001E-2</v>
      </c>
      <c r="G1170" s="177">
        <v>1705000000.0000002</v>
      </c>
      <c r="H1170" s="177">
        <v>769334000</v>
      </c>
      <c r="I1170" s="175">
        <v>2.216202585613011</v>
      </c>
      <c r="J1170" s="177">
        <v>38.750000000000007</v>
      </c>
    </row>
    <row r="1171" spans="1:10">
      <c r="A1171" s="65">
        <v>6404</v>
      </c>
      <c r="B1171" s="175">
        <v>0.74</v>
      </c>
      <c r="C1171" s="184">
        <v>0.8571428571428571</v>
      </c>
      <c r="D1171" s="177">
        <v>37837837.837837838</v>
      </c>
      <c r="E1171" s="26"/>
      <c r="F1171" s="184">
        <v>1.849166666666666E-2</v>
      </c>
      <c r="G1171" s="177">
        <v>1876756756.7567568</v>
      </c>
      <c r="H1171" s="177">
        <v>846572000</v>
      </c>
      <c r="I1171" s="175">
        <v>2.2168897113969712</v>
      </c>
      <c r="J1171" s="177">
        <v>19.549549549549553</v>
      </c>
    </row>
    <row r="1172" spans="1:10">
      <c r="A1172" s="65">
        <v>6286</v>
      </c>
      <c r="B1172" s="175">
        <v>2.4500000000000002</v>
      </c>
      <c r="C1172" s="184">
        <v>0.95417789757412397</v>
      </c>
      <c r="D1172" s="177">
        <v>148163265.30612245</v>
      </c>
      <c r="E1172" s="26"/>
      <c r="F1172" s="184">
        <v>6.3500000000000006E-3</v>
      </c>
      <c r="G1172" s="177">
        <v>28151020408.163265</v>
      </c>
      <c r="H1172" s="177">
        <v>12697231000</v>
      </c>
      <c r="I1172" s="175">
        <v>2.2170991776209528</v>
      </c>
      <c r="J1172" s="177">
        <v>20.318805488297013</v>
      </c>
    </row>
    <row r="1173" spans="1:10">
      <c r="A1173" s="65">
        <v>5489</v>
      </c>
      <c r="B1173" s="175">
        <v>0.65</v>
      </c>
      <c r="C1173" s="184">
        <v>1</v>
      </c>
      <c r="D1173" s="177">
        <v>101538461.53846154</v>
      </c>
      <c r="E1173" s="26"/>
      <c r="F1173" s="184">
        <v>-1.2249999999999999E-2</v>
      </c>
      <c r="G1173" s="177">
        <v>5310461538.4615383</v>
      </c>
      <c r="H1173" s="177">
        <v>2390824000</v>
      </c>
      <c r="I1173" s="175">
        <v>2.2211846369542627</v>
      </c>
      <c r="J1173" s="177">
        <v>20.115384615384613</v>
      </c>
    </row>
    <row r="1174" spans="1:10">
      <c r="A1174" s="65">
        <v>1734</v>
      </c>
      <c r="B1174" s="175">
        <v>-0.06</v>
      </c>
      <c r="C1174" s="184">
        <v>1</v>
      </c>
      <c r="D1174" s="177">
        <v>166666666.66666669</v>
      </c>
      <c r="E1174" s="26"/>
      <c r="F1174" s="184">
        <v>9.8249999999999952E-3</v>
      </c>
      <c r="G1174" s="177">
        <v>5016666666.6666679</v>
      </c>
      <c r="H1174" s="177">
        <v>2243388000</v>
      </c>
      <c r="I1174" s="175">
        <v>2.2362010792010425</v>
      </c>
      <c r="J1174" s="177">
        <v>0</v>
      </c>
    </row>
    <row r="1175" spans="1:10">
      <c r="A1175" s="65">
        <v>3131</v>
      </c>
      <c r="B1175" s="175">
        <v>2.67</v>
      </c>
      <c r="C1175" s="184">
        <v>1</v>
      </c>
      <c r="D1175" s="177">
        <v>24719101.123595506</v>
      </c>
      <c r="E1175" s="26"/>
      <c r="F1175" s="184">
        <v>3.0841666666666656E-2</v>
      </c>
      <c r="G1175" s="177">
        <v>4239325842.696629</v>
      </c>
      <c r="H1175" s="177">
        <v>1891298000</v>
      </c>
      <c r="I1175" s="175">
        <v>2.2414901526341322</v>
      </c>
      <c r="J1175" s="177">
        <v>16.058052434456929</v>
      </c>
    </row>
    <row r="1176" spans="1:10">
      <c r="A1176" s="65">
        <v>1227</v>
      </c>
      <c r="B1176" s="180">
        <v>0.52</v>
      </c>
      <c r="C1176" s="184">
        <v>0.96037296037296038</v>
      </c>
      <c r="D1176" s="181">
        <v>721153846.15384614</v>
      </c>
      <c r="E1176" s="179"/>
      <c r="F1176" s="184">
        <v>6.2441666666666673E-2</v>
      </c>
      <c r="G1176" s="181">
        <v>56610576923.07692</v>
      </c>
      <c r="H1176" s="181">
        <v>25241913000</v>
      </c>
      <c r="I1176" s="180">
        <v>2.2427213390315117</v>
      </c>
      <c r="J1176" s="181">
        <v>39.297633495145632</v>
      </c>
    </row>
    <row r="1177" spans="1:10">
      <c r="A1177" s="65">
        <v>4946</v>
      </c>
      <c r="B1177" s="175">
        <v>-2.2599999999999998</v>
      </c>
      <c r="C1177" s="184">
        <v>0.90476190476190477</v>
      </c>
      <c r="D1177" s="177">
        <v>27433628.318584073</v>
      </c>
      <c r="E1177" s="26"/>
      <c r="F1177" s="184">
        <v>-3.3516666666666667E-2</v>
      </c>
      <c r="G1177" s="177">
        <v>1197477876.1061947</v>
      </c>
      <c r="H1177" s="177">
        <v>531096000</v>
      </c>
      <c r="I1177" s="175">
        <v>2.2547296084063797</v>
      </c>
      <c r="J1177" s="177">
        <v>0</v>
      </c>
    </row>
    <row r="1178" spans="1:10">
      <c r="A1178" s="65">
        <v>4965</v>
      </c>
      <c r="B1178" s="175">
        <v>0.6</v>
      </c>
      <c r="C1178" s="184">
        <v>0.8571428571428571</v>
      </c>
      <c r="D1178" s="177">
        <v>20000000</v>
      </c>
      <c r="E1178" s="26"/>
      <c r="F1178" s="184">
        <v>4.1266666666666667E-2</v>
      </c>
      <c r="G1178" s="177">
        <v>2830000000</v>
      </c>
      <c r="H1178" s="177">
        <v>1254840000</v>
      </c>
      <c r="I1178" s="175">
        <v>2.2552676038379396</v>
      </c>
      <c r="J1178" s="177">
        <v>50</v>
      </c>
    </row>
    <row r="1179" spans="1:10">
      <c r="A1179" s="65">
        <v>4702</v>
      </c>
      <c r="B1179" s="175">
        <v>0.12</v>
      </c>
      <c r="C1179" s="184">
        <v>0</v>
      </c>
      <c r="D1179" s="177">
        <v>191666666.66666669</v>
      </c>
      <c r="E1179" s="26"/>
      <c r="F1179" s="184">
        <v>1.8199999999999997E-2</v>
      </c>
      <c r="G1179" s="177">
        <v>2443750000.0000005</v>
      </c>
      <c r="H1179" s="177">
        <v>1080305000</v>
      </c>
      <c r="I1179" s="175">
        <v>2.2620926497609477</v>
      </c>
      <c r="J1179" s="177">
        <v>0</v>
      </c>
    </row>
    <row r="1180" spans="1:10">
      <c r="A1180" s="65">
        <v>3645</v>
      </c>
      <c r="B1180" s="175">
        <v>0.28000000000000003</v>
      </c>
      <c r="C1180" s="184">
        <v>1</v>
      </c>
      <c r="D1180" s="177">
        <v>117857142.85714285</v>
      </c>
      <c r="E1180" s="26"/>
      <c r="F1180" s="184">
        <v>1.7966666666666672E-2</v>
      </c>
      <c r="G1180" s="177">
        <v>3494464285.7142854</v>
      </c>
      <c r="H1180" s="177">
        <v>1541513000</v>
      </c>
      <c r="I1180" s="175">
        <v>2.266905492016146</v>
      </c>
      <c r="J1180" s="177">
        <v>26.473214285714281</v>
      </c>
    </row>
    <row r="1181" spans="1:10">
      <c r="A1181" s="65">
        <v>2495</v>
      </c>
      <c r="B1181" s="175">
        <v>0.1</v>
      </c>
      <c r="C1181" s="184">
        <v>0.78873239436619713</v>
      </c>
      <c r="D1181" s="177">
        <v>280000000</v>
      </c>
      <c r="E1181" s="26"/>
      <c r="F1181" s="184">
        <v>-3.4416666666666714E-3</v>
      </c>
      <c r="G1181" s="177">
        <v>3990000000</v>
      </c>
      <c r="H1181" s="177">
        <v>1758911000</v>
      </c>
      <c r="I1181" s="175">
        <v>2.2684490573997205</v>
      </c>
      <c r="J1181" s="177">
        <v>45.167410714285708</v>
      </c>
    </row>
    <row r="1182" spans="1:10">
      <c r="A1182" s="65">
        <v>2360</v>
      </c>
      <c r="B1182" s="175">
        <v>1.01</v>
      </c>
      <c r="C1182" s="184">
        <v>0.91865079365079361</v>
      </c>
      <c r="D1182" s="177">
        <v>377227722.77227724</v>
      </c>
      <c r="E1182" s="26"/>
      <c r="F1182" s="184">
        <v>2.3008333333333342E-2</v>
      </c>
      <c r="G1182" s="177">
        <v>22143267326.732674</v>
      </c>
      <c r="H1182" s="177">
        <v>9738503000</v>
      </c>
      <c r="I1182" s="175">
        <v>2.2737855424732811</v>
      </c>
      <c r="J1182" s="177">
        <v>15.816350533541476</v>
      </c>
    </row>
    <row r="1183" spans="1:10">
      <c r="A1183" s="65">
        <v>1733</v>
      </c>
      <c r="B1183" s="175">
        <v>0.41</v>
      </c>
      <c r="C1183" s="184">
        <v>1</v>
      </c>
      <c r="D1183" s="177">
        <v>100000000</v>
      </c>
      <c r="E1183" s="26"/>
      <c r="F1183" s="184">
        <v>1.6749999999999991E-2</v>
      </c>
      <c r="G1183" s="177">
        <v>4265000000</v>
      </c>
      <c r="H1183" s="177">
        <v>1875341000</v>
      </c>
      <c r="I1183" s="175">
        <v>2.2742530558442438</v>
      </c>
      <c r="J1183" s="177">
        <v>26.006097560975611</v>
      </c>
    </row>
    <row r="1184" spans="1:10">
      <c r="A1184" s="65">
        <v>3452</v>
      </c>
      <c r="B1184" s="175">
        <v>-0.34</v>
      </c>
      <c r="C1184" s="184">
        <v>0.9773242630385488</v>
      </c>
      <c r="D1184" s="177">
        <v>770588235.29411757</v>
      </c>
      <c r="E1184" s="26"/>
      <c r="F1184" s="184">
        <v>0.10494166666666666</v>
      </c>
      <c r="G1184" s="177">
        <v>9439705882.3529396</v>
      </c>
      <c r="H1184" s="177">
        <v>4145979000</v>
      </c>
      <c r="I1184" s="175">
        <v>2.2768339835664726</v>
      </c>
      <c r="J1184" s="177">
        <v>0</v>
      </c>
    </row>
    <row r="1185" spans="1:11">
      <c r="A1185" s="65">
        <v>9942</v>
      </c>
      <c r="B1185" s="175">
        <v>1.23</v>
      </c>
      <c r="C1185" s="184">
        <v>1</v>
      </c>
      <c r="D1185" s="177">
        <v>83739837.398373991</v>
      </c>
      <c r="E1185" s="26"/>
      <c r="F1185" s="184">
        <v>2.3524999999999994E-2</v>
      </c>
      <c r="G1185" s="177">
        <v>6380975609.7560987</v>
      </c>
      <c r="H1185" s="177">
        <v>2802510000</v>
      </c>
      <c r="I1185" s="175">
        <v>2.2768788014159087</v>
      </c>
      <c r="J1185" s="177">
        <v>15.487804878048781</v>
      </c>
    </row>
    <row r="1186" spans="1:11">
      <c r="A1186" s="65">
        <v>5284</v>
      </c>
      <c r="B1186" s="175">
        <v>1.41</v>
      </c>
      <c r="C1186" s="184">
        <v>1</v>
      </c>
      <c r="D1186" s="177">
        <v>34042553.191489361</v>
      </c>
      <c r="E1186" s="26"/>
      <c r="F1186" s="184">
        <v>1.9925000000000002E-2</v>
      </c>
      <c r="G1186" s="177">
        <v>2696170212.7659574</v>
      </c>
      <c r="H1186" s="177">
        <v>1178297000</v>
      </c>
      <c r="I1186" s="175">
        <v>2.2881923765960175</v>
      </c>
      <c r="J1186" s="177">
        <v>14.042553191489363</v>
      </c>
    </row>
    <row r="1187" spans="1:11">
      <c r="A1187" s="65">
        <v>2433</v>
      </c>
      <c r="B1187" s="175">
        <v>0.92</v>
      </c>
      <c r="C1187" s="184">
        <v>0.84279475982532748</v>
      </c>
      <c r="D1187" s="177">
        <v>143478260.86956522</v>
      </c>
      <c r="E1187" s="26"/>
      <c r="F1187" s="184">
        <v>1.9566666666666666E-2</v>
      </c>
      <c r="G1187" s="177">
        <v>6528260869.565217</v>
      </c>
      <c r="H1187" s="177">
        <v>2851587000</v>
      </c>
      <c r="I1187" s="175">
        <v>2.2893430463686419</v>
      </c>
      <c r="J1187" s="177">
        <v>14.670393106555531</v>
      </c>
    </row>
    <row r="1188" spans="1:11">
      <c r="A1188" s="65">
        <v>3376</v>
      </c>
      <c r="B1188" s="175">
        <v>1.69</v>
      </c>
      <c r="C1188" s="184">
        <v>1</v>
      </c>
      <c r="D1188" s="177">
        <v>179289940.82840237</v>
      </c>
      <c r="E1188" s="26"/>
      <c r="F1188" s="184">
        <v>7.7416666666666675E-3</v>
      </c>
      <c r="G1188" s="177">
        <v>18646153846.153847</v>
      </c>
      <c r="H1188" s="177">
        <v>8140984000</v>
      </c>
      <c r="I1188" s="175">
        <v>2.2904054161209317</v>
      </c>
      <c r="J1188" s="177">
        <v>15.384615384615385</v>
      </c>
    </row>
    <row r="1189" spans="1:11">
      <c r="A1189" s="65">
        <v>4991</v>
      </c>
      <c r="B1189" s="175">
        <v>1.1599999999999999</v>
      </c>
      <c r="C1189" s="184">
        <v>1</v>
      </c>
      <c r="D1189" s="177">
        <v>44827586.206896558</v>
      </c>
      <c r="E1189" s="26"/>
      <c r="F1189" s="184">
        <v>4.3991666666666672E-2</v>
      </c>
      <c r="G1189" s="177">
        <v>3617586206.8965526</v>
      </c>
      <c r="H1189" s="177">
        <v>1575323000</v>
      </c>
      <c r="I1189" s="175">
        <v>2.296409185225222</v>
      </c>
      <c r="J1189" s="177">
        <v>17.392241379310345</v>
      </c>
    </row>
    <row r="1190" spans="1:11">
      <c r="A1190" s="65">
        <v>6426</v>
      </c>
      <c r="B1190" s="175">
        <v>0.44</v>
      </c>
      <c r="C1190" s="184">
        <v>1</v>
      </c>
      <c r="D1190" s="177">
        <v>31818181.818181816</v>
      </c>
      <c r="E1190" s="26"/>
      <c r="F1190" s="184">
        <v>1.0474999999999996E-2</v>
      </c>
      <c r="G1190" s="177">
        <v>1154999999.9999998</v>
      </c>
      <c r="H1190" s="177">
        <v>501727000</v>
      </c>
      <c r="I1190" s="175">
        <v>2.3020487237083112</v>
      </c>
      <c r="J1190" s="177">
        <v>20.625</v>
      </c>
    </row>
    <row r="1191" spans="1:11">
      <c r="A1191" s="65">
        <v>3002</v>
      </c>
      <c r="B1191" s="175">
        <v>0.11</v>
      </c>
      <c r="C1191" s="184">
        <v>0.21739130434782608</v>
      </c>
      <c r="D1191" s="177">
        <v>100000000</v>
      </c>
      <c r="E1191" s="26"/>
      <c r="F1191" s="184">
        <v>4.5749999999999992E-2</v>
      </c>
      <c r="G1191" s="177">
        <v>1120000000</v>
      </c>
      <c r="H1191" s="177">
        <v>486152000</v>
      </c>
      <c r="I1191" s="175">
        <v>2.3038062169856341</v>
      </c>
      <c r="J1191" s="177">
        <v>50</v>
      </c>
    </row>
    <row r="1192" spans="1:11">
      <c r="A1192" s="65">
        <v>8435</v>
      </c>
      <c r="B1192" s="175">
        <v>0.77</v>
      </c>
      <c r="C1192" s="184">
        <v>1</v>
      </c>
      <c r="D1192" s="177">
        <v>31168831.16883117</v>
      </c>
      <c r="E1192" s="26"/>
      <c r="F1192" s="184">
        <v>2.1533333333333324E-2</v>
      </c>
      <c r="G1192" s="177">
        <v>1478961038.9610391</v>
      </c>
      <c r="H1192" s="177">
        <v>641474000</v>
      </c>
      <c r="I1192" s="175">
        <v>2.3055666152658394</v>
      </c>
      <c r="J1192" s="177">
        <v>15.405844155844157</v>
      </c>
    </row>
    <row r="1193" spans="1:11">
      <c r="A1193" s="65">
        <v>6451</v>
      </c>
      <c r="B1193" s="175">
        <v>1.77</v>
      </c>
      <c r="C1193" s="184">
        <v>0.83732057416267947</v>
      </c>
      <c r="D1193" s="177">
        <v>105084745.76271187</v>
      </c>
      <c r="E1193" s="26"/>
      <c r="F1193" s="184">
        <v>-9.1466666666666654E-2</v>
      </c>
      <c r="G1193" s="177">
        <v>12767796610.169493</v>
      </c>
      <c r="H1193" s="177">
        <v>5520871000</v>
      </c>
      <c r="I1193" s="175">
        <v>2.3126417208751104</v>
      </c>
      <c r="J1193" s="177">
        <v>20.495157384987891</v>
      </c>
      <c r="K1193" s="32"/>
    </row>
    <row r="1194" spans="1:11">
      <c r="A1194" s="65">
        <v>2506</v>
      </c>
      <c r="B1194" s="175">
        <v>0.04</v>
      </c>
      <c r="C1194" s="184">
        <v>0.99230769230769234</v>
      </c>
      <c r="D1194" s="177">
        <v>400000000</v>
      </c>
      <c r="E1194" s="26"/>
      <c r="F1194" s="184">
        <v>-6.5499999999999989E-2</v>
      </c>
      <c r="G1194" s="177">
        <v>6540000000.000001</v>
      </c>
      <c r="H1194" s="177">
        <v>2817254000</v>
      </c>
      <c r="I1194" s="175">
        <v>2.3214094291817498</v>
      </c>
      <c r="J1194" s="177">
        <v>50</v>
      </c>
    </row>
    <row r="1195" spans="1:11">
      <c r="A1195" s="65">
        <v>1762</v>
      </c>
      <c r="B1195" s="175">
        <v>0.17</v>
      </c>
      <c r="C1195" s="184">
        <v>0</v>
      </c>
      <c r="D1195" s="177">
        <v>76470588.235294119</v>
      </c>
      <c r="E1195" s="26"/>
      <c r="F1195" s="184">
        <v>0.18062500000000001</v>
      </c>
      <c r="G1195" s="177">
        <v>2550294117.647059</v>
      </c>
      <c r="H1195" s="177">
        <v>1097939000</v>
      </c>
      <c r="I1195" s="175">
        <v>2.3228012828099365</v>
      </c>
      <c r="J1195" s="177">
        <v>0</v>
      </c>
    </row>
    <row r="1196" spans="1:11">
      <c r="A1196" s="65">
        <v>8255</v>
      </c>
      <c r="B1196" s="175">
        <v>1.94</v>
      </c>
      <c r="C1196" s="184">
        <v>1</v>
      </c>
      <c r="D1196" s="177">
        <v>74226804.123711348</v>
      </c>
      <c r="E1196" s="26"/>
      <c r="F1196" s="184">
        <v>3.4916666666666672E-3</v>
      </c>
      <c r="G1196" s="177">
        <v>8090721649.4845371</v>
      </c>
      <c r="H1196" s="177">
        <v>3474579000</v>
      </c>
      <c r="I1196" s="175">
        <v>2.3285473288949645</v>
      </c>
      <c r="J1196" s="177">
        <v>14.046391752577319</v>
      </c>
    </row>
    <row r="1197" spans="1:11">
      <c r="A1197" s="65">
        <v>6414</v>
      </c>
      <c r="B1197" s="175">
        <v>2.95</v>
      </c>
      <c r="C1197" s="184">
        <v>0.99469496021220161</v>
      </c>
      <c r="D1197" s="177">
        <v>68813559.322033897</v>
      </c>
      <c r="E1197" s="26"/>
      <c r="F1197" s="184">
        <v>8.0141666666666667E-2</v>
      </c>
      <c r="G1197" s="177">
        <v>24153559322.033897</v>
      </c>
      <c r="H1197" s="177">
        <v>10365079000</v>
      </c>
      <c r="I1197" s="175">
        <v>2.3302822218753851</v>
      </c>
      <c r="J1197" s="177">
        <v>29.904406779661016</v>
      </c>
    </row>
    <row r="1198" spans="1:11">
      <c r="A1198" s="65">
        <v>9940</v>
      </c>
      <c r="B1198" s="175">
        <v>0.38</v>
      </c>
      <c r="C1198" s="184">
        <v>0.69969040247678016</v>
      </c>
      <c r="D1198" s="177">
        <v>636842105.26315784</v>
      </c>
      <c r="E1198" s="26"/>
      <c r="F1198" s="184">
        <v>1.7974999999999988E-2</v>
      </c>
      <c r="G1198" s="177">
        <v>18404736842.105259</v>
      </c>
      <c r="H1198" s="177">
        <v>7889115000</v>
      </c>
      <c r="I1198" s="175">
        <v>2.3329279446560558</v>
      </c>
      <c r="J1198" s="177">
        <v>27.173672566371682</v>
      </c>
    </row>
    <row r="1199" spans="1:11">
      <c r="A1199" s="65">
        <v>6124</v>
      </c>
      <c r="B1199" s="175">
        <v>-0.09</v>
      </c>
      <c r="C1199" s="184">
        <v>1</v>
      </c>
      <c r="D1199" s="177">
        <v>177777777.77777779</v>
      </c>
      <c r="E1199" s="26"/>
      <c r="F1199" s="184">
        <v>4.4850000000000001E-2</v>
      </c>
      <c r="G1199" s="177">
        <v>4311111111.1111116</v>
      </c>
      <c r="H1199" s="177">
        <v>1844022000</v>
      </c>
      <c r="I1199" s="175">
        <v>2.3378848577246432</v>
      </c>
      <c r="J1199" s="177">
        <v>0</v>
      </c>
    </row>
    <row r="1200" spans="1:11">
      <c r="A1200" s="65">
        <v>4904</v>
      </c>
      <c r="B1200" s="175">
        <v>0.97</v>
      </c>
      <c r="C1200" s="184">
        <v>1</v>
      </c>
      <c r="D1200" s="177">
        <v>3255670103.0927835</v>
      </c>
      <c r="E1200" s="26"/>
      <c r="F1200" s="184">
        <v>-2.8666666666666688E-3</v>
      </c>
      <c r="G1200" s="177">
        <v>229199175257.73196</v>
      </c>
      <c r="H1200" s="177">
        <v>97444656000</v>
      </c>
      <c r="I1200" s="175">
        <v>2.352095893875719</v>
      </c>
      <c r="J1200" s="177">
        <v>18.14432989690722</v>
      </c>
    </row>
    <row r="1201" spans="1:11">
      <c r="A1201" s="65">
        <v>3188</v>
      </c>
      <c r="B1201" s="175">
        <v>-0.15</v>
      </c>
      <c r="C1201" s="184">
        <v>0.75</v>
      </c>
      <c r="D1201" s="177">
        <v>46666666.666666672</v>
      </c>
      <c r="E1201" s="26"/>
      <c r="F1201" s="184">
        <v>1.6683333333333331E-2</v>
      </c>
      <c r="G1201" s="177">
        <v>455000000.00000006</v>
      </c>
      <c r="H1201" s="177">
        <v>192976000</v>
      </c>
      <c r="I1201" s="175">
        <v>2.3578061520603599</v>
      </c>
      <c r="J1201" s="177">
        <v>0</v>
      </c>
    </row>
    <row r="1202" spans="1:11">
      <c r="A1202" s="65">
        <v>3265</v>
      </c>
      <c r="B1202" s="175">
        <v>0.36</v>
      </c>
      <c r="C1202" s="184">
        <v>1</v>
      </c>
      <c r="D1202" s="177">
        <v>136111111.1111111</v>
      </c>
      <c r="E1202" s="26"/>
      <c r="F1202" s="184">
        <v>-1.2500000000000011E-3</v>
      </c>
      <c r="G1202" s="177">
        <v>3906388888.8888888</v>
      </c>
      <c r="H1202" s="177">
        <v>1656742000</v>
      </c>
      <c r="I1202" s="175">
        <v>2.3578740014370907</v>
      </c>
      <c r="J1202" s="177">
        <v>19.930555555555557</v>
      </c>
    </row>
    <row r="1203" spans="1:11">
      <c r="A1203" s="65">
        <v>6504</v>
      </c>
      <c r="B1203" s="175">
        <v>2.19</v>
      </c>
      <c r="C1203" s="184">
        <v>0.90645161290322585</v>
      </c>
      <c r="D1203" s="177">
        <v>72602739.726027399</v>
      </c>
      <c r="E1203" s="26"/>
      <c r="F1203" s="184">
        <v>1.4499999999999999E-2</v>
      </c>
      <c r="G1203" s="177">
        <v>13976027397.260275</v>
      </c>
      <c r="H1203" s="177">
        <v>5925758000</v>
      </c>
      <c r="I1203" s="175">
        <v>2.3585214578894842</v>
      </c>
      <c r="J1203" s="177">
        <v>24.242756625879522</v>
      </c>
    </row>
    <row r="1204" spans="1:11">
      <c r="A1204" s="65">
        <v>5534</v>
      </c>
      <c r="B1204" s="175">
        <v>-0.02</v>
      </c>
      <c r="C1204" s="184">
        <v>0</v>
      </c>
      <c r="D1204" s="177">
        <v>250000000</v>
      </c>
      <c r="E1204" s="26"/>
      <c r="F1204" s="184">
        <v>0.20375000000000001</v>
      </c>
      <c r="G1204" s="177">
        <v>11212500000</v>
      </c>
      <c r="H1204" s="177">
        <v>4750531000</v>
      </c>
      <c r="I1204" s="175">
        <v>2.3602624632909457</v>
      </c>
      <c r="J1204" s="177">
        <v>0</v>
      </c>
    </row>
    <row r="1205" spans="1:11">
      <c r="A1205" s="65">
        <v>2458</v>
      </c>
      <c r="B1205" s="175">
        <v>0.38</v>
      </c>
      <c r="C1205" s="184">
        <v>1</v>
      </c>
      <c r="D1205" s="177">
        <v>421052631.57894737</v>
      </c>
      <c r="E1205" s="26"/>
      <c r="F1205" s="184">
        <v>6.6999999999999985E-3</v>
      </c>
      <c r="G1205" s="177">
        <v>15957894736.842104</v>
      </c>
      <c r="H1205" s="177">
        <v>6731481000</v>
      </c>
      <c r="I1205" s="175">
        <v>2.3706365266190463</v>
      </c>
      <c r="J1205" s="177">
        <v>24.934210526315788</v>
      </c>
    </row>
    <row r="1206" spans="1:11">
      <c r="A1206" s="65">
        <v>6294</v>
      </c>
      <c r="B1206" s="175">
        <v>3.38</v>
      </c>
      <c r="C1206" s="184">
        <v>1</v>
      </c>
      <c r="D1206" s="177">
        <v>15384615.384615386</v>
      </c>
      <c r="E1206" s="26"/>
      <c r="F1206" s="184">
        <v>2.2158333333333332E-2</v>
      </c>
      <c r="G1206" s="177">
        <v>1561538461.5384617</v>
      </c>
      <c r="H1206" s="177">
        <v>658315000</v>
      </c>
      <c r="I1206" s="175">
        <v>2.372023213109927</v>
      </c>
      <c r="J1206" s="177">
        <v>7.5073964497041423</v>
      </c>
    </row>
    <row r="1207" spans="1:11">
      <c r="A1207" s="65">
        <v>6155</v>
      </c>
      <c r="B1207" s="175">
        <v>0.2</v>
      </c>
      <c r="C1207" s="184">
        <v>1</v>
      </c>
      <c r="D1207" s="177">
        <v>85000000</v>
      </c>
      <c r="E1207" s="26"/>
      <c r="F1207" s="184">
        <v>-4.3749999999999943E-3</v>
      </c>
      <c r="G1207" s="177">
        <v>1542749999.9999998</v>
      </c>
      <c r="H1207" s="177">
        <v>647454000</v>
      </c>
      <c r="I1207" s="175">
        <v>2.3827947622533796</v>
      </c>
      <c r="J1207" s="177">
        <v>22.687499999999996</v>
      </c>
    </row>
    <row r="1208" spans="1:11">
      <c r="A1208" s="65">
        <v>6241</v>
      </c>
      <c r="B1208" s="175">
        <v>-0.33</v>
      </c>
      <c r="C1208" s="184">
        <v>1</v>
      </c>
      <c r="D1208" s="177">
        <v>24242424.242424242</v>
      </c>
      <c r="E1208" s="26"/>
      <c r="F1208" s="184">
        <v>0.45974166666666677</v>
      </c>
      <c r="G1208" s="177">
        <v>346666666.66666669</v>
      </c>
      <c r="H1208" s="177">
        <v>145131000</v>
      </c>
      <c r="I1208" s="175">
        <v>2.3886465790676472</v>
      </c>
      <c r="J1208" s="177">
        <v>0</v>
      </c>
    </row>
    <row r="1209" spans="1:11">
      <c r="A1209" s="65">
        <v>9908</v>
      </c>
      <c r="B1209" s="175">
        <v>0.33</v>
      </c>
      <c r="C1209" s="184">
        <v>0.52272727272727271</v>
      </c>
      <c r="D1209" s="177">
        <v>496969696.96969694</v>
      </c>
      <c r="E1209" s="26"/>
      <c r="F1209" s="184">
        <v>-1.5416666666666667E-2</v>
      </c>
      <c r="G1209" s="177">
        <v>11032727272.727272</v>
      </c>
      <c r="H1209" s="177">
        <v>4611414000</v>
      </c>
      <c r="I1209" s="175">
        <v>2.3924824951147894</v>
      </c>
      <c r="J1209" s="177">
        <v>32.173913043478258</v>
      </c>
    </row>
    <row r="1210" spans="1:11">
      <c r="A1210" s="65">
        <v>9906</v>
      </c>
      <c r="B1210" s="175">
        <v>0.42</v>
      </c>
      <c r="C1210" s="184">
        <v>1</v>
      </c>
      <c r="D1210" s="177">
        <v>69047619.047619045</v>
      </c>
      <c r="E1210" s="26"/>
      <c r="F1210" s="184">
        <v>1649.7950833333332</v>
      </c>
      <c r="G1210" s="177">
        <v>1450000000</v>
      </c>
      <c r="H1210" s="177">
        <v>604522000</v>
      </c>
      <c r="I1210" s="175">
        <v>2.3985892986524893</v>
      </c>
      <c r="J1210" s="177">
        <v>12.5</v>
      </c>
    </row>
    <row r="1211" spans="1:11">
      <c r="A1211" s="65">
        <v>5474</v>
      </c>
      <c r="B1211" s="175">
        <v>0.92</v>
      </c>
      <c r="C1211" s="184">
        <v>1</v>
      </c>
      <c r="D1211" s="177">
        <v>33695652.173913039</v>
      </c>
      <c r="E1211" s="26"/>
      <c r="F1211" s="184">
        <v>0.12785000000000002</v>
      </c>
      <c r="G1211" s="177">
        <v>2645108695.6521735</v>
      </c>
      <c r="H1211" s="177">
        <v>1101387000</v>
      </c>
      <c r="I1211" s="175">
        <v>2.4016160492653116</v>
      </c>
      <c r="J1211" s="177">
        <v>21.331521739130434</v>
      </c>
    </row>
    <row r="1212" spans="1:11">
      <c r="A1212" s="65">
        <v>4109</v>
      </c>
      <c r="B1212" s="175">
        <v>0.06</v>
      </c>
      <c r="C1212" s="184">
        <v>1</v>
      </c>
      <c r="D1212" s="177">
        <v>66666666.666666672</v>
      </c>
      <c r="E1212" s="26"/>
      <c r="F1212" s="184">
        <v>4.9449999999999994E-2</v>
      </c>
      <c r="G1212" s="177">
        <v>1710000000</v>
      </c>
      <c r="H1212" s="177">
        <v>711448000</v>
      </c>
      <c r="I1212" s="175">
        <v>2.4035488187471183</v>
      </c>
      <c r="J1212" s="177">
        <v>50</v>
      </c>
      <c r="K1212" s="32"/>
    </row>
    <row r="1213" spans="1:11">
      <c r="A1213" s="65">
        <v>3045</v>
      </c>
      <c r="B1213" s="175">
        <v>1.45</v>
      </c>
      <c r="C1213" s="184">
        <v>1</v>
      </c>
      <c r="D1213" s="177">
        <v>2722068965.5172415</v>
      </c>
      <c r="E1213" s="26"/>
      <c r="F1213" s="184">
        <v>-3.8166666666666679E-3</v>
      </c>
      <c r="G1213" s="177">
        <v>279012068965.51727</v>
      </c>
      <c r="H1213" s="177">
        <v>115803875000</v>
      </c>
      <c r="I1213" s="175">
        <v>2.4093500236111898</v>
      </c>
      <c r="J1213" s="177">
        <v>17.672413793103448</v>
      </c>
    </row>
    <row r="1214" spans="1:11">
      <c r="A1214" s="65">
        <v>8404</v>
      </c>
      <c r="B1214" s="175">
        <v>0.63</v>
      </c>
      <c r="C1214" s="184">
        <v>0.86142322097378277</v>
      </c>
      <c r="D1214" s="177">
        <v>223809523.80952382</v>
      </c>
      <c r="E1214" s="26"/>
      <c r="F1214" s="184">
        <v>6.2916666666666662E-2</v>
      </c>
      <c r="G1214" s="177">
        <v>8661428571.4285717</v>
      </c>
      <c r="H1214" s="177">
        <v>3591981000</v>
      </c>
      <c r="I1214" s="175">
        <v>2.4113236042809167</v>
      </c>
      <c r="J1214" s="177">
        <v>17.827639751552795</v>
      </c>
    </row>
    <row r="1215" spans="1:11">
      <c r="A1215" s="65">
        <v>3687</v>
      </c>
      <c r="B1215" s="175">
        <v>-0.05</v>
      </c>
      <c r="C1215" s="184">
        <v>1</v>
      </c>
      <c r="D1215" s="177">
        <v>20000000</v>
      </c>
      <c r="E1215" s="26"/>
      <c r="F1215" s="184">
        <v>8.0800000000000011E-2</v>
      </c>
      <c r="G1215" s="177">
        <v>1546000000</v>
      </c>
      <c r="H1215" s="177">
        <v>640596000</v>
      </c>
      <c r="I1215" s="175">
        <v>2.4133775421638597</v>
      </c>
      <c r="J1215" s="177">
        <v>0</v>
      </c>
    </row>
    <row r="1216" spans="1:11">
      <c r="A1216" s="65">
        <v>4736</v>
      </c>
      <c r="B1216" s="175">
        <v>1.38</v>
      </c>
      <c r="C1216" s="184">
        <v>1</v>
      </c>
      <c r="D1216" s="177">
        <v>68115942.028985515</v>
      </c>
      <c r="E1216" s="26"/>
      <c r="F1216" s="184">
        <v>3.7791666666666668E-2</v>
      </c>
      <c r="G1216" s="177">
        <v>6423333333.333334</v>
      </c>
      <c r="H1216" s="177">
        <v>2657127000</v>
      </c>
      <c r="I1216" s="175">
        <v>2.4173979389518583</v>
      </c>
      <c r="J1216" s="177">
        <v>17.083333333333336</v>
      </c>
    </row>
    <row r="1217" spans="1:10">
      <c r="A1217" s="65">
        <v>9938</v>
      </c>
      <c r="B1217" s="175">
        <v>0.96</v>
      </c>
      <c r="C1217" s="184">
        <v>0.93996247654784237</v>
      </c>
      <c r="D1217" s="177">
        <v>296875000</v>
      </c>
      <c r="E1217" s="26"/>
      <c r="F1217" s="184">
        <v>4.6974999999999996E-2</v>
      </c>
      <c r="G1217" s="177">
        <v>22918750000</v>
      </c>
      <c r="H1217" s="177">
        <v>9408616000</v>
      </c>
      <c r="I1217" s="175">
        <v>2.4359321285936208</v>
      </c>
      <c r="J1217" s="177">
        <v>21.38826513639388</v>
      </c>
    </row>
    <row r="1218" spans="1:10">
      <c r="A1218" s="65">
        <v>1301</v>
      </c>
      <c r="B1218" s="175">
        <v>1.71</v>
      </c>
      <c r="C1218" s="184">
        <v>0.28659083074801794</v>
      </c>
      <c r="D1218" s="177">
        <v>6351461988.3040934</v>
      </c>
      <c r="E1218" s="26"/>
      <c r="F1218" s="184">
        <v>8.2749999999999994E-3</v>
      </c>
      <c r="G1218" s="177">
        <v>480805672514.61987</v>
      </c>
      <c r="H1218" s="177">
        <v>195480013000</v>
      </c>
      <c r="I1218" s="175">
        <v>2.4596155132986404</v>
      </c>
      <c r="J1218" s="177">
        <v>38.616907013745575</v>
      </c>
    </row>
    <row r="1219" spans="1:10">
      <c r="A1219" s="65">
        <v>9918</v>
      </c>
      <c r="B1219" s="175">
        <v>0.49</v>
      </c>
      <c r="C1219" s="184">
        <v>0.75520833333333337</v>
      </c>
      <c r="D1219" s="177">
        <v>177551020.40816328</v>
      </c>
      <c r="E1219" s="26"/>
      <c r="F1219" s="184">
        <v>-8.783333333333334E-3</v>
      </c>
      <c r="G1219" s="177">
        <v>5592857142.8571434</v>
      </c>
      <c r="H1219" s="177">
        <v>2273851000</v>
      </c>
      <c r="I1219" s="175">
        <v>2.4596409979621106</v>
      </c>
      <c r="J1219" s="177">
        <v>21.2807881773399</v>
      </c>
    </row>
    <row r="1220" spans="1:10">
      <c r="A1220" s="65">
        <v>4528</v>
      </c>
      <c r="B1220" s="175">
        <v>0.83</v>
      </c>
      <c r="C1220" s="184">
        <v>0.95205479452054798</v>
      </c>
      <c r="D1220" s="177">
        <v>77108433.734939769</v>
      </c>
      <c r="E1220" s="26"/>
      <c r="F1220" s="184">
        <v>2.164166666666667E-2</v>
      </c>
      <c r="G1220" s="177">
        <v>5459277108.4337358</v>
      </c>
      <c r="H1220" s="177">
        <v>2212636000</v>
      </c>
      <c r="I1220" s="175">
        <v>2.4673182161158618</v>
      </c>
      <c r="J1220" s="177">
        <v>22.399237236716651</v>
      </c>
    </row>
    <row r="1221" spans="1:10">
      <c r="A1221" s="65">
        <v>3118</v>
      </c>
      <c r="B1221" s="175">
        <v>0.64</v>
      </c>
      <c r="C1221" s="184">
        <v>0.86486486486486491</v>
      </c>
      <c r="D1221" s="177">
        <v>32812500</v>
      </c>
      <c r="E1221" s="26"/>
      <c r="F1221" s="184">
        <v>6.5350000000000005E-2</v>
      </c>
      <c r="G1221" s="177">
        <v>1342031250</v>
      </c>
      <c r="H1221" s="177">
        <v>541704000</v>
      </c>
      <c r="I1221" s="175">
        <v>2.477425402064596</v>
      </c>
      <c r="J1221" s="177">
        <v>18.472900390625</v>
      </c>
    </row>
    <row r="1222" spans="1:10">
      <c r="A1222" s="65">
        <v>5490</v>
      </c>
      <c r="B1222" s="175">
        <v>2.08</v>
      </c>
      <c r="C1222" s="184">
        <v>0.96</v>
      </c>
      <c r="D1222" s="177">
        <v>94230769.230769232</v>
      </c>
      <c r="E1222" s="26"/>
      <c r="F1222" s="184">
        <v>0.17689999999999997</v>
      </c>
      <c r="G1222" s="177">
        <v>7538461538.4615383</v>
      </c>
      <c r="H1222" s="177">
        <v>3041892000</v>
      </c>
      <c r="I1222" s="175">
        <v>2.4782147224364106</v>
      </c>
      <c r="J1222" s="177">
        <v>10.016025641025642</v>
      </c>
    </row>
    <row r="1223" spans="1:10">
      <c r="A1223" s="65">
        <v>5432</v>
      </c>
      <c r="B1223" s="175">
        <v>0.19</v>
      </c>
      <c r="C1223" s="184">
        <v>1</v>
      </c>
      <c r="D1223" s="177">
        <v>21052631.578947369</v>
      </c>
      <c r="E1223" s="26"/>
      <c r="F1223" s="184">
        <v>-5.4166666666666712E-3</v>
      </c>
      <c r="G1223" s="177">
        <v>318947368.42105263</v>
      </c>
      <c r="H1223" s="177">
        <v>127694000</v>
      </c>
      <c r="I1223" s="175">
        <v>2.4977474933908614</v>
      </c>
      <c r="J1223" s="177">
        <v>19.934210526315791</v>
      </c>
    </row>
    <row r="1224" spans="1:10">
      <c r="A1224" s="65">
        <v>5314</v>
      </c>
      <c r="B1224" s="175">
        <v>-0.27</v>
      </c>
      <c r="C1224" s="184">
        <v>0.94117647058823528</v>
      </c>
      <c r="D1224" s="177">
        <v>59259259.259259254</v>
      </c>
      <c r="E1224" s="26"/>
      <c r="F1224" s="184">
        <v>1.5916666666666672E-3</v>
      </c>
      <c r="G1224" s="177">
        <v>414814814.81481481</v>
      </c>
      <c r="H1224" s="177">
        <v>165431000</v>
      </c>
      <c r="I1224" s="175">
        <v>2.5074793407209941</v>
      </c>
      <c r="J1224" s="177">
        <v>0</v>
      </c>
    </row>
    <row r="1225" spans="1:10">
      <c r="A1225" s="65">
        <v>3229</v>
      </c>
      <c r="B1225" s="175">
        <v>-0.05</v>
      </c>
      <c r="C1225" s="184">
        <v>0.44444444444444442</v>
      </c>
      <c r="D1225" s="177">
        <v>100000000</v>
      </c>
      <c r="E1225" s="26"/>
      <c r="F1225" s="184">
        <v>6.8691666666666679E-2</v>
      </c>
      <c r="G1225" s="177">
        <v>1960000000.0000002</v>
      </c>
      <c r="H1225" s="177">
        <v>778121000</v>
      </c>
      <c r="I1225" s="175">
        <v>2.5188884505109104</v>
      </c>
      <c r="J1225" s="177">
        <v>0</v>
      </c>
    </row>
    <row r="1226" spans="1:10">
      <c r="A1226" s="65">
        <v>2436</v>
      </c>
      <c r="B1226" s="175">
        <v>0.16</v>
      </c>
      <c r="C1226" s="184">
        <v>0</v>
      </c>
      <c r="D1226" s="177">
        <v>225000000</v>
      </c>
      <c r="E1226" s="26"/>
      <c r="F1226" s="184">
        <v>1.5716666666666667E-2</v>
      </c>
      <c r="G1226" s="177">
        <v>4466250000</v>
      </c>
      <c r="H1226" s="177">
        <v>1764172000</v>
      </c>
      <c r="I1226" s="175">
        <v>2.5316409057620231</v>
      </c>
      <c r="J1226" s="177">
        <v>0</v>
      </c>
    </row>
    <row r="1227" spans="1:10">
      <c r="A1227" s="65">
        <v>3583</v>
      </c>
      <c r="B1227" s="175">
        <v>-0.01</v>
      </c>
      <c r="C1227" s="184">
        <v>1</v>
      </c>
      <c r="D1227" s="177">
        <v>100000000</v>
      </c>
      <c r="E1227" s="26"/>
      <c r="F1227" s="184">
        <v>0.11389166666666668</v>
      </c>
      <c r="G1227" s="177">
        <v>7520000000</v>
      </c>
      <c r="H1227" s="177">
        <v>2965983000</v>
      </c>
      <c r="I1227" s="175">
        <v>2.5354157458083879</v>
      </c>
      <c r="J1227" s="177">
        <v>0</v>
      </c>
    </row>
    <row r="1228" spans="1:10">
      <c r="A1228" s="65">
        <v>3474</v>
      </c>
      <c r="B1228" s="175">
        <v>0.7</v>
      </c>
      <c r="C1228" s="184">
        <v>1</v>
      </c>
      <c r="D1228" s="177">
        <v>6554285714.2857151</v>
      </c>
      <c r="E1228" s="26"/>
      <c r="F1228" s="184">
        <v>-3.2483333333333329E-2</v>
      </c>
      <c r="G1228" s="177">
        <v>171394571428.57144</v>
      </c>
      <c r="H1228" s="177">
        <v>67553762000</v>
      </c>
      <c r="I1228" s="175">
        <v>2.537158055365909</v>
      </c>
      <c r="J1228" s="177">
        <v>9.3392857142857135</v>
      </c>
    </row>
    <row r="1229" spans="1:10">
      <c r="A1229" s="65">
        <v>8086</v>
      </c>
      <c r="B1229" s="175">
        <v>1.93</v>
      </c>
      <c r="C1229" s="184">
        <v>1</v>
      </c>
      <c r="D1229" s="177">
        <v>137305699.48186529</v>
      </c>
      <c r="E1229" s="26"/>
      <c r="F1229" s="184">
        <v>7.5916666666666658E-3</v>
      </c>
      <c r="G1229" s="177">
        <v>11080569948.186529</v>
      </c>
      <c r="H1229" s="177">
        <v>4366552000</v>
      </c>
      <c r="I1229" s="175">
        <v>2.5376017388975396</v>
      </c>
      <c r="J1229" s="177">
        <v>10.453367875647668</v>
      </c>
    </row>
    <row r="1230" spans="1:10">
      <c r="A1230" s="65">
        <v>9943</v>
      </c>
      <c r="B1230" s="175">
        <v>1.86</v>
      </c>
      <c r="C1230" s="184">
        <v>0.48738170347003157</v>
      </c>
      <c r="D1230" s="177">
        <v>147311827.95698923</v>
      </c>
      <c r="E1230" s="26"/>
      <c r="F1230" s="184">
        <v>3.4166666666666664E-3</v>
      </c>
      <c r="G1230" s="177">
        <v>8043225806.4516125</v>
      </c>
      <c r="H1230" s="177">
        <v>3148219000</v>
      </c>
      <c r="I1230" s="175">
        <v>2.5548495217300995</v>
      </c>
      <c r="J1230" s="177">
        <v>15.057417266938092</v>
      </c>
    </row>
    <row r="1231" spans="1:10">
      <c r="A1231" s="65">
        <v>2443</v>
      </c>
      <c r="B1231" s="175">
        <v>-0.28999999999999998</v>
      </c>
      <c r="C1231" s="184">
        <v>1</v>
      </c>
      <c r="D1231" s="177">
        <v>148275862.06896552</v>
      </c>
      <c r="E1231" s="26"/>
      <c r="F1231" s="184">
        <v>0.20932499999999998</v>
      </c>
      <c r="G1231" s="177">
        <v>1070551724.1379311</v>
      </c>
      <c r="H1231" s="177">
        <v>417830000</v>
      </c>
      <c r="I1231" s="175">
        <v>2.5621705577338418</v>
      </c>
      <c r="J1231" s="177">
        <v>0</v>
      </c>
    </row>
    <row r="1232" spans="1:10">
      <c r="A1232" s="65">
        <v>5007</v>
      </c>
      <c r="B1232" s="175">
        <v>0.76</v>
      </c>
      <c r="C1232" s="184">
        <v>0.91860465116279066</v>
      </c>
      <c r="D1232" s="177">
        <v>269736842.10526317</v>
      </c>
      <c r="E1232" s="26"/>
      <c r="F1232" s="184">
        <v>4.6000000000000008E-3</v>
      </c>
      <c r="G1232" s="177">
        <v>17586842105.263161</v>
      </c>
      <c r="H1232" s="177">
        <v>6857834000</v>
      </c>
      <c r="I1232" s="175">
        <v>2.5644893278640399</v>
      </c>
      <c r="J1232" s="177">
        <v>23.347768154563624</v>
      </c>
    </row>
    <row r="1233" spans="1:11">
      <c r="A1233" s="65">
        <v>2530</v>
      </c>
      <c r="B1233" s="175">
        <v>-0.06</v>
      </c>
      <c r="C1233" s="184">
        <v>0.8666666666666667</v>
      </c>
      <c r="D1233" s="177">
        <v>283333333.33333337</v>
      </c>
      <c r="E1233" s="26"/>
      <c r="F1233" s="184">
        <v>53.443125000000002</v>
      </c>
      <c r="G1233" s="177">
        <v>4873333333.333334</v>
      </c>
      <c r="H1233" s="177">
        <v>1899823000</v>
      </c>
      <c r="I1233" s="175">
        <v>2.5651512447914011</v>
      </c>
      <c r="J1233" s="177">
        <v>0</v>
      </c>
      <c r="K1233" s="32"/>
    </row>
    <row r="1234" spans="1:11">
      <c r="A1234" s="65">
        <v>3541</v>
      </c>
      <c r="B1234" s="175">
        <v>0.72</v>
      </c>
      <c r="C1234" s="184">
        <v>0.9642857142857143</v>
      </c>
      <c r="D1234" s="177">
        <v>44444444.444444448</v>
      </c>
      <c r="E1234" s="26"/>
      <c r="F1234" s="184">
        <v>4.2166666666666611E-3</v>
      </c>
      <c r="G1234" s="177">
        <v>3564444444.4444447</v>
      </c>
      <c r="H1234" s="177">
        <v>1388924000</v>
      </c>
      <c r="I1234" s="175">
        <v>2.5663351230480895</v>
      </c>
      <c r="J1234" s="177">
        <v>28.878600823045268</v>
      </c>
    </row>
    <row r="1235" spans="1:11">
      <c r="A1235" s="65">
        <v>3499</v>
      </c>
      <c r="B1235" s="175">
        <v>0</v>
      </c>
      <c r="C1235" s="184">
        <v>0</v>
      </c>
      <c r="D1235" s="177">
        <v>56400000</v>
      </c>
      <c r="E1235" s="26"/>
      <c r="F1235" s="184">
        <v>5.2049999999999992E-2</v>
      </c>
      <c r="G1235" s="177">
        <v>1542540000</v>
      </c>
      <c r="H1235" s="177">
        <v>598129000</v>
      </c>
      <c r="I1235" s="175">
        <v>2.5789420008058461</v>
      </c>
      <c r="J1235" s="177">
        <v>0</v>
      </c>
    </row>
    <row r="1236" spans="1:11" ht="16.5" customHeight="1">
      <c r="A1236" s="65">
        <v>2227</v>
      </c>
      <c r="B1236" s="175">
        <v>4.62</v>
      </c>
      <c r="C1236" s="184">
        <v>0.11571961841559519</v>
      </c>
      <c r="D1236" s="177">
        <v>300000000</v>
      </c>
      <c r="E1236" s="26"/>
      <c r="F1236" s="184">
        <v>5.8608333333333346E-2</v>
      </c>
      <c r="G1236" s="177">
        <v>86400000000</v>
      </c>
      <c r="H1236" s="177">
        <v>33380561000</v>
      </c>
      <c r="I1236" s="175">
        <v>2.5883327724779699</v>
      </c>
      <c r="J1236" s="177">
        <v>50</v>
      </c>
    </row>
    <row r="1237" spans="1:11">
      <c r="A1237" s="65">
        <v>5245</v>
      </c>
      <c r="B1237" s="175">
        <v>0.66</v>
      </c>
      <c r="C1237" s="184">
        <v>1</v>
      </c>
      <c r="D1237" s="177">
        <v>37878787.878787875</v>
      </c>
      <c r="E1237" s="26"/>
      <c r="F1237" s="184">
        <v>4.9224999999999998E-2</v>
      </c>
      <c r="G1237" s="177">
        <v>2878787878.7878785</v>
      </c>
      <c r="H1237" s="177">
        <v>1108602000</v>
      </c>
      <c r="I1237" s="175">
        <v>2.5967731239776568</v>
      </c>
      <c r="J1237" s="177">
        <v>28.787878787878785</v>
      </c>
    </row>
    <row r="1238" spans="1:11">
      <c r="A1238" s="65">
        <v>3587</v>
      </c>
      <c r="B1238" s="175">
        <v>0.8</v>
      </c>
      <c r="C1238" s="184">
        <v>1</v>
      </c>
      <c r="D1238" s="177">
        <v>46250000</v>
      </c>
      <c r="E1238" s="26"/>
      <c r="F1238" s="184">
        <v>1.4466666666666671E-2</v>
      </c>
      <c r="G1238" s="177">
        <v>2751875000</v>
      </c>
      <c r="H1238" s="177">
        <v>1059203000</v>
      </c>
      <c r="I1238" s="175">
        <v>2.5980619390239643</v>
      </c>
      <c r="J1238" s="177">
        <v>18.59375</v>
      </c>
    </row>
    <row r="1239" spans="1:11">
      <c r="A1239" s="65">
        <v>4163</v>
      </c>
      <c r="B1239" s="175">
        <v>0.93</v>
      </c>
      <c r="C1239" s="184">
        <v>1</v>
      </c>
      <c r="D1239" s="177">
        <v>40860215.053763442</v>
      </c>
      <c r="E1239" s="26"/>
      <c r="F1239" s="184">
        <v>-1.2833333333333308E-3</v>
      </c>
      <c r="G1239" s="177">
        <v>4739784946.2365589</v>
      </c>
      <c r="H1239" s="177">
        <v>1824136000</v>
      </c>
      <c r="I1239" s="175">
        <v>2.5983725699380744</v>
      </c>
      <c r="J1239" s="177">
        <v>31.182795698924728</v>
      </c>
    </row>
    <row r="1240" spans="1:11">
      <c r="A1240" s="65">
        <v>8431</v>
      </c>
      <c r="B1240" s="175">
        <v>-0.39</v>
      </c>
      <c r="C1240" s="184">
        <v>0</v>
      </c>
      <c r="D1240" s="177">
        <v>41025641.025641024</v>
      </c>
      <c r="E1240" s="26"/>
      <c r="F1240" s="184">
        <v>-2.4825E-2</v>
      </c>
      <c r="G1240" s="177">
        <v>2408205128.2051282</v>
      </c>
      <c r="H1240" s="177">
        <v>918335000</v>
      </c>
      <c r="I1240" s="175">
        <v>2.6223601716205178</v>
      </c>
      <c r="J1240" s="177">
        <v>0</v>
      </c>
    </row>
    <row r="1241" spans="1:11">
      <c r="A1241" s="65">
        <v>3356</v>
      </c>
      <c r="B1241" s="175">
        <v>1.19</v>
      </c>
      <c r="C1241" s="184">
        <v>1</v>
      </c>
      <c r="D1241" s="177">
        <v>69747899.159663871</v>
      </c>
      <c r="E1241" s="26"/>
      <c r="F1241" s="184">
        <v>-3.0416666666666643E-3</v>
      </c>
      <c r="G1241" s="177">
        <v>5621680672.2689075</v>
      </c>
      <c r="H1241" s="177">
        <v>2141450000</v>
      </c>
      <c r="I1241" s="175">
        <v>2.6251748452071761</v>
      </c>
      <c r="J1241" s="177">
        <v>16.932773109243698</v>
      </c>
    </row>
    <row r="1242" spans="1:11">
      <c r="A1242" s="65">
        <v>4401</v>
      </c>
      <c r="B1242" s="175">
        <v>1.46</v>
      </c>
      <c r="C1242" s="184">
        <v>1</v>
      </c>
      <c r="D1242" s="177">
        <v>120547945.20547946</v>
      </c>
      <c r="E1242" s="26"/>
      <c r="F1242" s="184">
        <v>2.3199999999999995E-2</v>
      </c>
      <c r="G1242" s="177">
        <v>11934246575.342466</v>
      </c>
      <c r="H1242" s="177">
        <v>4539810000</v>
      </c>
      <c r="I1242" s="175">
        <v>2.6287986887870782</v>
      </c>
      <c r="J1242" s="177">
        <v>16.952054794520549</v>
      </c>
    </row>
    <row r="1243" spans="1:11" ht="16.5" customHeight="1">
      <c r="A1243" s="65">
        <v>3691</v>
      </c>
      <c r="B1243" s="175">
        <v>6.68</v>
      </c>
      <c r="C1243" s="184">
        <v>1</v>
      </c>
      <c r="D1243" s="177">
        <v>60928143.712574854</v>
      </c>
      <c r="E1243" s="26"/>
      <c r="F1243" s="184">
        <v>4.6550000000000015E-2</v>
      </c>
      <c r="G1243" s="177">
        <v>38384730538.922157</v>
      </c>
      <c r="H1243" s="177">
        <v>14543081000</v>
      </c>
      <c r="I1243" s="175">
        <v>2.6393809220289812</v>
      </c>
      <c r="J1243" s="177">
        <v>23.577844311377248</v>
      </c>
    </row>
    <row r="1244" spans="1:11">
      <c r="A1244" s="65">
        <v>5604</v>
      </c>
      <c r="B1244" s="175">
        <v>0.32</v>
      </c>
      <c r="C1244" s="184">
        <v>0.96825396825396826</v>
      </c>
      <c r="D1244" s="177">
        <v>109375000</v>
      </c>
      <c r="E1244" s="26"/>
      <c r="F1244" s="184">
        <v>3.7500000000000012E-3</v>
      </c>
      <c r="G1244" s="177">
        <v>3893750000</v>
      </c>
      <c r="H1244" s="177">
        <v>1473866000</v>
      </c>
      <c r="I1244" s="175">
        <v>2.641861607500275</v>
      </c>
      <c r="J1244" s="177">
        <v>28.72438524590164</v>
      </c>
    </row>
    <row r="1245" spans="1:11">
      <c r="A1245" s="65">
        <v>3169</v>
      </c>
      <c r="B1245" s="175">
        <v>0.08</v>
      </c>
      <c r="C1245" s="184">
        <v>0.75</v>
      </c>
      <c r="D1245" s="177">
        <v>50000000</v>
      </c>
      <c r="E1245" s="26"/>
      <c r="F1245" s="184">
        <v>4.1591666666666659E-2</v>
      </c>
      <c r="G1245" s="177">
        <v>1550000000</v>
      </c>
      <c r="H1245" s="177">
        <v>584770000</v>
      </c>
      <c r="I1245" s="175">
        <v>2.6506147716196113</v>
      </c>
      <c r="J1245" s="177">
        <v>50</v>
      </c>
    </row>
    <row r="1246" spans="1:11">
      <c r="A1246" s="65">
        <v>6803</v>
      </c>
      <c r="B1246" s="175">
        <v>3.11</v>
      </c>
      <c r="C1246" s="184">
        <v>0.92370572207084467</v>
      </c>
      <c r="D1246" s="177">
        <v>65273311.897106111</v>
      </c>
      <c r="E1246" s="26"/>
      <c r="F1246" s="184">
        <v>4.0333333333333306E-3</v>
      </c>
      <c r="G1246" s="177">
        <v>10704823151.125402</v>
      </c>
      <c r="H1246" s="177">
        <v>4038388000</v>
      </c>
      <c r="I1246" s="175">
        <v>2.6507663828055654</v>
      </c>
      <c r="J1246" s="177">
        <v>14.27216420529456</v>
      </c>
    </row>
    <row r="1247" spans="1:11">
      <c r="A1247" s="65">
        <v>6243</v>
      </c>
      <c r="B1247" s="175">
        <v>-0.67</v>
      </c>
      <c r="C1247" s="184">
        <v>0.93939393939393945</v>
      </c>
      <c r="D1247" s="177">
        <v>74626865.671641782</v>
      </c>
      <c r="E1247" s="26"/>
      <c r="F1247" s="184">
        <v>3.1200000000000006E-2</v>
      </c>
      <c r="G1247" s="177">
        <v>1350746268.6567163</v>
      </c>
      <c r="H1247" s="177">
        <v>507812000</v>
      </c>
      <c r="I1247" s="175">
        <v>2.6599337326741321</v>
      </c>
      <c r="J1247" s="177">
        <v>0</v>
      </c>
    </row>
    <row r="1248" spans="1:11">
      <c r="A1248" s="65">
        <v>3257</v>
      </c>
      <c r="B1248" s="175">
        <v>0.48</v>
      </c>
      <c r="C1248" s="184">
        <v>0.93220338983050843</v>
      </c>
      <c r="D1248" s="177">
        <v>54166666.666666672</v>
      </c>
      <c r="E1248" s="26"/>
      <c r="F1248" s="184">
        <v>-2.3033333333333333E-2</v>
      </c>
      <c r="G1248" s="177">
        <v>2280416666.666667</v>
      </c>
      <c r="H1248" s="177">
        <v>855557000</v>
      </c>
      <c r="I1248" s="175">
        <v>2.6654175778664273</v>
      </c>
      <c r="J1248" s="177">
        <v>23.521780303030308</v>
      </c>
    </row>
    <row r="1249" spans="1:10">
      <c r="A1249" s="65">
        <v>1104</v>
      </c>
      <c r="B1249" s="180">
        <v>0.56000000000000005</v>
      </c>
      <c r="C1249" s="184">
        <v>0</v>
      </c>
      <c r="D1249" s="181">
        <v>630357142.85714281</v>
      </c>
      <c r="E1249" s="32"/>
      <c r="F1249" s="184">
        <v>1.0216666666666667E-2</v>
      </c>
      <c r="G1249" s="181">
        <v>14277589285.714283</v>
      </c>
      <c r="H1249" s="181">
        <v>5348372000</v>
      </c>
      <c r="I1249" s="180">
        <v>2.6695206103304487</v>
      </c>
      <c r="J1249" s="181">
        <v>0</v>
      </c>
    </row>
    <row r="1250" spans="1:10">
      <c r="A1250" s="65">
        <v>4114</v>
      </c>
      <c r="B1250" s="175">
        <v>0.06</v>
      </c>
      <c r="C1250" s="184">
        <v>1</v>
      </c>
      <c r="D1250" s="177">
        <v>133333333.33333334</v>
      </c>
      <c r="E1250" s="26"/>
      <c r="F1250" s="184">
        <v>1.8825000000000005E-2</v>
      </c>
      <c r="G1250" s="177">
        <v>4560000000.000001</v>
      </c>
      <c r="H1250" s="177">
        <v>1707835000</v>
      </c>
      <c r="I1250" s="175">
        <v>2.6700471649778819</v>
      </c>
      <c r="J1250" s="177">
        <v>50</v>
      </c>
    </row>
    <row r="1251" spans="1:10">
      <c r="A1251" s="65">
        <v>4907</v>
      </c>
      <c r="B1251" s="175">
        <v>0.48</v>
      </c>
      <c r="C1251" s="184">
        <v>0.98</v>
      </c>
      <c r="D1251" s="177">
        <v>118750000</v>
      </c>
      <c r="E1251" s="26"/>
      <c r="F1251" s="184">
        <v>1062.3054500000001</v>
      </c>
      <c r="G1251" s="177">
        <v>1383437500</v>
      </c>
      <c r="H1251" s="177">
        <v>511548000</v>
      </c>
      <c r="I1251" s="175">
        <v>2.7044138575461147</v>
      </c>
      <c r="J1251" s="177">
        <v>6.1915391156462585</v>
      </c>
    </row>
    <row r="1252" spans="1:10">
      <c r="A1252" s="65">
        <v>2505</v>
      </c>
      <c r="B1252" s="175">
        <v>0.68</v>
      </c>
      <c r="C1252" s="184">
        <v>1</v>
      </c>
      <c r="D1252" s="177">
        <v>558823529.41176462</v>
      </c>
      <c r="E1252" s="26"/>
      <c r="F1252" s="184">
        <v>308.51169166666665</v>
      </c>
      <c r="G1252" s="177">
        <v>6566176470.5882339</v>
      </c>
      <c r="H1252" s="177">
        <v>2422054000</v>
      </c>
      <c r="I1252" s="175">
        <v>2.7109950771486657</v>
      </c>
      <c r="J1252" s="177">
        <v>4.3198529411764701</v>
      </c>
    </row>
    <row r="1253" spans="1:10">
      <c r="A1253" s="65">
        <v>1410</v>
      </c>
      <c r="B1253" s="175">
        <v>0.52</v>
      </c>
      <c r="C1253" s="184">
        <v>0.94915254237288138</v>
      </c>
      <c r="D1253" s="177">
        <v>71153846.153846145</v>
      </c>
      <c r="E1253" s="26"/>
      <c r="F1253" s="184">
        <v>1.3750000000000012E-3</v>
      </c>
      <c r="G1253" s="177">
        <v>1700576923.0769227</v>
      </c>
      <c r="H1253" s="177">
        <v>624792000</v>
      </c>
      <c r="I1253" s="175">
        <v>2.7218289015815227</v>
      </c>
      <c r="J1253" s="177">
        <v>12.105940934065933</v>
      </c>
    </row>
    <row r="1254" spans="1:10">
      <c r="A1254" s="65">
        <v>4966</v>
      </c>
      <c r="B1254" s="175">
        <v>4.28</v>
      </c>
      <c r="C1254" s="184">
        <v>0.98892988929889303</v>
      </c>
      <c r="D1254" s="177">
        <v>75000000</v>
      </c>
      <c r="E1254" s="26"/>
      <c r="F1254" s="184">
        <v>3.1658333333333337E-2</v>
      </c>
      <c r="G1254" s="177">
        <v>18825000000</v>
      </c>
      <c r="H1254" s="177">
        <v>6845015000</v>
      </c>
      <c r="I1254" s="175">
        <v>2.7501765883639409</v>
      </c>
      <c r="J1254" s="177">
        <v>14.825333031106149</v>
      </c>
    </row>
    <row r="1255" spans="1:10">
      <c r="A1255" s="65">
        <v>1339</v>
      </c>
      <c r="B1255" s="175">
        <v>0.68</v>
      </c>
      <c r="C1255" s="184">
        <v>1</v>
      </c>
      <c r="D1255" s="177">
        <v>73529411.764705881</v>
      </c>
      <c r="E1255" s="26"/>
      <c r="F1255" s="184">
        <v>6.6841666666666674E-2</v>
      </c>
      <c r="G1255" s="177">
        <v>5088235294.1176472</v>
      </c>
      <c r="H1255" s="177">
        <v>1846507000</v>
      </c>
      <c r="I1255" s="175">
        <v>2.7556003276010581</v>
      </c>
      <c r="J1255" s="177">
        <v>25.441176470588236</v>
      </c>
    </row>
    <row r="1256" spans="1:10">
      <c r="A1256" s="65">
        <v>4947</v>
      </c>
      <c r="B1256" s="175">
        <v>2.81</v>
      </c>
      <c r="C1256" s="184">
        <v>0.8526785714285714</v>
      </c>
      <c r="D1256" s="177">
        <v>44839857.651245549</v>
      </c>
      <c r="E1256" s="26"/>
      <c r="F1256" s="184">
        <v>3.5741666666666665E-2</v>
      </c>
      <c r="G1256" s="177">
        <v>8317793594.3060493</v>
      </c>
      <c r="H1256" s="177">
        <v>3009799000</v>
      </c>
      <c r="I1256" s="175">
        <v>2.763571120299412</v>
      </c>
      <c r="J1256" s="177">
        <v>19.35495891636079</v>
      </c>
    </row>
    <row r="1257" spans="1:10">
      <c r="A1257" s="65">
        <v>3532</v>
      </c>
      <c r="B1257" s="175">
        <v>0.43</v>
      </c>
      <c r="C1257" s="184">
        <v>1</v>
      </c>
      <c r="D1257" s="177">
        <v>772093023.25581396</v>
      </c>
      <c r="E1257" s="26"/>
      <c r="F1257" s="184">
        <v>-5.0833333333333286E-4</v>
      </c>
      <c r="G1257" s="177">
        <v>30150232558.139534</v>
      </c>
      <c r="H1257" s="177">
        <v>10870307000</v>
      </c>
      <c r="I1257" s="175">
        <v>2.7736321115990132</v>
      </c>
      <c r="J1257" s="177">
        <v>22.703488372093023</v>
      </c>
    </row>
    <row r="1258" spans="1:10">
      <c r="A1258" s="65">
        <v>5211</v>
      </c>
      <c r="B1258" s="175">
        <v>0.13</v>
      </c>
      <c r="C1258" s="184">
        <v>0.7142857142857143</v>
      </c>
      <c r="D1258" s="177">
        <v>30769230.769230768</v>
      </c>
      <c r="E1258" s="26"/>
      <c r="F1258" s="184">
        <v>-5.4749999999999998E-3</v>
      </c>
      <c r="G1258" s="177">
        <v>738461538.46153843</v>
      </c>
      <c r="H1258" s="177">
        <v>265842000</v>
      </c>
      <c r="I1258" s="175">
        <v>2.7778211812337346</v>
      </c>
      <c r="J1258" s="177">
        <v>50</v>
      </c>
    </row>
    <row r="1259" spans="1:10">
      <c r="A1259" s="65">
        <v>3030</v>
      </c>
      <c r="B1259" s="175">
        <v>1.81</v>
      </c>
      <c r="C1259" s="184">
        <v>1</v>
      </c>
      <c r="D1259" s="177">
        <v>236464088.39779004</v>
      </c>
      <c r="E1259" s="26"/>
      <c r="F1259" s="184">
        <v>0.13988333333333339</v>
      </c>
      <c r="G1259" s="177">
        <v>13431160220.994474</v>
      </c>
      <c r="H1259" s="177">
        <v>4824247000</v>
      </c>
      <c r="I1259" s="175">
        <v>2.7840946412972789</v>
      </c>
      <c r="J1259" s="177">
        <v>7.845303867403314</v>
      </c>
    </row>
    <row r="1260" spans="1:10">
      <c r="A1260" s="65">
        <v>9926</v>
      </c>
      <c r="B1260" s="175">
        <v>0.48</v>
      </c>
      <c r="C1260" s="184">
        <v>0.86144578313253017</v>
      </c>
      <c r="D1260" s="177">
        <v>166666666.66666669</v>
      </c>
      <c r="E1260" s="26"/>
      <c r="F1260" s="184">
        <v>-4.816666666666667E-3</v>
      </c>
      <c r="G1260" s="177">
        <v>6750000000.000001</v>
      </c>
      <c r="H1260" s="177">
        <v>2417864000</v>
      </c>
      <c r="I1260" s="175">
        <v>2.7917202952688824</v>
      </c>
      <c r="J1260" s="177">
        <v>24.486451048951047</v>
      </c>
    </row>
    <row r="1261" spans="1:10">
      <c r="A1261" s="65">
        <v>2547</v>
      </c>
      <c r="B1261" s="175">
        <v>-0.2</v>
      </c>
      <c r="C1261" s="184">
        <v>0.5955056179775281</v>
      </c>
      <c r="D1261" s="177">
        <v>880000000</v>
      </c>
      <c r="E1261" s="26"/>
      <c r="F1261" s="184">
        <v>2.3658333333333326E-2</v>
      </c>
      <c r="G1261" s="177">
        <v>11264000000</v>
      </c>
      <c r="H1261" s="177">
        <v>4034360000</v>
      </c>
      <c r="I1261" s="175">
        <v>2.7920165775984294</v>
      </c>
      <c r="J1261" s="177">
        <v>0</v>
      </c>
    </row>
    <row r="1262" spans="1:10">
      <c r="A1262" s="65">
        <v>3428</v>
      </c>
      <c r="B1262" s="175">
        <v>0.77</v>
      </c>
      <c r="C1262" s="184">
        <v>1</v>
      </c>
      <c r="D1262" s="177">
        <v>96103896.103896096</v>
      </c>
      <c r="E1262" s="26"/>
      <c r="F1262" s="184">
        <v>8.1716666666666646E-2</v>
      </c>
      <c r="G1262" s="177">
        <v>4853246753.2467527</v>
      </c>
      <c r="H1262" s="177">
        <v>1729423000</v>
      </c>
      <c r="I1262" s="175">
        <v>2.8062809117530834</v>
      </c>
      <c r="J1262" s="177">
        <v>16.396103896103895</v>
      </c>
    </row>
    <row r="1263" spans="1:10">
      <c r="A1263" s="65">
        <v>2114</v>
      </c>
      <c r="B1263" s="175">
        <v>1.27</v>
      </c>
      <c r="C1263" s="184">
        <v>1</v>
      </c>
      <c r="D1263" s="177">
        <v>67716535.433070868</v>
      </c>
      <c r="E1263" s="26"/>
      <c r="F1263" s="184">
        <v>-2.0133333333333333E-2</v>
      </c>
      <c r="G1263" s="177">
        <v>5667874015.7480316</v>
      </c>
      <c r="H1263" s="177">
        <v>2009173000</v>
      </c>
      <c r="I1263" s="175">
        <v>2.8209984982617384</v>
      </c>
      <c r="J1263" s="177">
        <v>16.476377952755907</v>
      </c>
    </row>
    <row r="1264" spans="1:10">
      <c r="A1264" s="65">
        <v>4139</v>
      </c>
      <c r="B1264" s="175">
        <v>-0.31</v>
      </c>
      <c r="C1264" s="184">
        <v>1</v>
      </c>
      <c r="D1264" s="177">
        <v>32258064.516129032</v>
      </c>
      <c r="E1264" s="26"/>
      <c r="F1264" s="184">
        <v>3.9191666666666673E-2</v>
      </c>
      <c r="G1264" s="177">
        <v>2432258064.516129</v>
      </c>
      <c r="H1264" s="177">
        <v>861757000</v>
      </c>
      <c r="I1264" s="175">
        <v>2.8224407396935898</v>
      </c>
      <c r="J1264" s="177">
        <v>0</v>
      </c>
    </row>
    <row r="1265" spans="1:10">
      <c r="A1265" s="65">
        <v>3252</v>
      </c>
      <c r="B1265" s="175">
        <v>-0.56999999999999995</v>
      </c>
      <c r="C1265" s="184">
        <v>0</v>
      </c>
      <c r="D1265" s="177">
        <v>21052631.578947369</v>
      </c>
      <c r="E1265" s="26"/>
      <c r="F1265" s="184">
        <v>-4.3266666666666655E-2</v>
      </c>
      <c r="G1265" s="177">
        <v>437894736.84210527</v>
      </c>
      <c r="H1265" s="177">
        <v>154764000</v>
      </c>
      <c r="I1265" s="175">
        <v>2.8294353780084855</v>
      </c>
      <c r="J1265" s="177">
        <v>0</v>
      </c>
    </row>
    <row r="1266" spans="1:10">
      <c r="A1266" s="65">
        <v>1784</v>
      </c>
      <c r="B1266" s="175">
        <v>0.12</v>
      </c>
      <c r="C1266" s="184">
        <v>0.6</v>
      </c>
      <c r="D1266" s="177">
        <v>50000000</v>
      </c>
      <c r="E1266" s="26"/>
      <c r="F1266" s="184">
        <v>1.9925000000000002E-2</v>
      </c>
      <c r="G1266" s="177">
        <v>1789999999.9999998</v>
      </c>
      <c r="H1266" s="177">
        <v>631478000</v>
      </c>
      <c r="I1266" s="175">
        <v>2.8346197333873859</v>
      </c>
      <c r="J1266" s="177">
        <v>50</v>
      </c>
    </row>
    <row r="1267" spans="1:10">
      <c r="A1267" s="65">
        <v>1589</v>
      </c>
      <c r="B1267" s="175">
        <v>2.87</v>
      </c>
      <c r="C1267" s="184">
        <v>0.955719557195572</v>
      </c>
      <c r="D1267" s="177">
        <v>107665505.22648083</v>
      </c>
      <c r="E1267" s="26"/>
      <c r="F1267" s="184">
        <v>3.4899999999999994E-2</v>
      </c>
      <c r="G1267" s="177">
        <v>22717421602.787453</v>
      </c>
      <c r="H1267" s="177">
        <v>8013398000</v>
      </c>
      <c r="I1267" s="175">
        <v>2.8349299014959013</v>
      </c>
      <c r="J1267" s="177">
        <v>19.231364266207468</v>
      </c>
    </row>
    <row r="1268" spans="1:10">
      <c r="A1268" s="65">
        <v>6206</v>
      </c>
      <c r="B1268" s="175">
        <v>1.77</v>
      </c>
      <c r="C1268" s="184">
        <v>1</v>
      </c>
      <c r="D1268" s="177">
        <v>138983050.84745762</v>
      </c>
      <c r="E1268" s="26"/>
      <c r="F1268" s="184">
        <v>9.2500000000000427E-4</v>
      </c>
      <c r="G1268" s="177">
        <v>14454237288.135592</v>
      </c>
      <c r="H1268" s="177">
        <v>5093700000</v>
      </c>
      <c r="I1268" s="175">
        <v>2.8376695306232387</v>
      </c>
      <c r="J1268" s="177">
        <v>14.689265536723164</v>
      </c>
    </row>
    <row r="1269" spans="1:10">
      <c r="A1269" s="65">
        <v>3631</v>
      </c>
      <c r="B1269" s="175">
        <v>-0.42</v>
      </c>
      <c r="C1269" s="184">
        <v>0.83582089552238803</v>
      </c>
      <c r="D1269" s="177">
        <v>80952380.952380955</v>
      </c>
      <c r="E1269" s="26"/>
      <c r="F1269" s="184">
        <v>-1.9775000000000001E-2</v>
      </c>
      <c r="G1269" s="177">
        <v>2023809523.8095238</v>
      </c>
      <c r="H1269" s="177">
        <v>711441000</v>
      </c>
      <c r="I1269" s="175">
        <v>2.8446624861506771</v>
      </c>
      <c r="J1269" s="177">
        <v>0</v>
      </c>
    </row>
    <row r="1270" spans="1:10">
      <c r="A1270" s="65">
        <v>6202</v>
      </c>
      <c r="B1270" s="175">
        <v>0.97</v>
      </c>
      <c r="C1270" s="184">
        <v>0.89501312335958005</v>
      </c>
      <c r="D1270" s="177">
        <v>226804123.71134022</v>
      </c>
      <c r="E1270" s="26"/>
      <c r="F1270" s="184">
        <v>2.5874999999999995E-2</v>
      </c>
      <c r="G1270" s="177">
        <v>11328865979.381445</v>
      </c>
      <c r="H1270" s="177">
        <v>3953785000</v>
      </c>
      <c r="I1270" s="175">
        <v>2.8653217055002851</v>
      </c>
      <c r="J1270" s="177">
        <v>14.383824107385799</v>
      </c>
    </row>
    <row r="1271" spans="1:10">
      <c r="A1271" s="65">
        <v>2596</v>
      </c>
      <c r="B1271" s="175">
        <v>-0.11</v>
      </c>
      <c r="C1271" s="184">
        <v>0.94</v>
      </c>
      <c r="D1271" s="177">
        <v>81818181.818181813</v>
      </c>
      <c r="E1271" s="26"/>
      <c r="F1271" s="184">
        <v>8.6780083333333327</v>
      </c>
      <c r="G1271" s="177">
        <v>1063636363.6363635</v>
      </c>
      <c r="H1271" s="177">
        <v>370354000</v>
      </c>
      <c r="I1271" s="175">
        <v>2.8719451217925647</v>
      </c>
      <c r="J1271" s="177">
        <v>0</v>
      </c>
    </row>
    <row r="1272" spans="1:10">
      <c r="A1272" s="65">
        <v>6233</v>
      </c>
      <c r="B1272" s="175">
        <v>-0.33</v>
      </c>
      <c r="C1272" s="184">
        <v>1</v>
      </c>
      <c r="D1272" s="177">
        <v>84848484.848484844</v>
      </c>
      <c r="E1272" s="26"/>
      <c r="F1272" s="184">
        <v>5.4133333333333332E-2</v>
      </c>
      <c r="G1272" s="177">
        <v>1200606060.6060605</v>
      </c>
      <c r="H1272" s="177">
        <v>417881000</v>
      </c>
      <c r="I1272" s="175">
        <v>2.8730812374959869</v>
      </c>
      <c r="J1272" s="177">
        <v>0</v>
      </c>
    </row>
    <row r="1273" spans="1:10">
      <c r="A1273" s="65">
        <v>5347</v>
      </c>
      <c r="B1273" s="175">
        <v>0.52</v>
      </c>
      <c r="C1273" s="184">
        <v>0.8908748824082785</v>
      </c>
      <c r="D1273" s="177">
        <v>1636538461.5384614</v>
      </c>
      <c r="E1273" s="26"/>
      <c r="F1273" s="184">
        <v>-6.8499999999999993E-3</v>
      </c>
      <c r="G1273" s="177">
        <v>68980096153.846146</v>
      </c>
      <c r="H1273" s="177">
        <v>24001444000</v>
      </c>
      <c r="I1273" s="175">
        <v>2.8739977542120445</v>
      </c>
      <c r="J1273" s="177">
        <v>22.746654414751031</v>
      </c>
    </row>
    <row r="1274" spans="1:10">
      <c r="A1274" s="65">
        <v>4102</v>
      </c>
      <c r="B1274" s="175">
        <v>-0.23</v>
      </c>
      <c r="C1274" s="184">
        <v>0.93333333333333335</v>
      </c>
      <c r="D1274" s="177">
        <v>43478260.869565219</v>
      </c>
      <c r="E1274" s="26"/>
      <c r="F1274" s="184">
        <v>6.5441666666666662E-2</v>
      </c>
      <c r="G1274" s="177">
        <v>902173913.04347825</v>
      </c>
      <c r="H1274" s="177">
        <v>313599000</v>
      </c>
      <c r="I1274" s="175">
        <v>2.8768392534525882</v>
      </c>
      <c r="J1274" s="177">
        <v>0</v>
      </c>
    </row>
    <row r="1275" spans="1:10">
      <c r="A1275" s="65">
        <v>2704</v>
      </c>
      <c r="B1275" s="175">
        <v>0.19</v>
      </c>
      <c r="C1275" s="184">
        <v>1</v>
      </c>
      <c r="D1275" s="177">
        <v>368421052.63157892</v>
      </c>
      <c r="E1275" s="26"/>
      <c r="F1275" s="184">
        <v>1.3666666666666643E-3</v>
      </c>
      <c r="G1275" s="177">
        <v>10278947368.421051</v>
      </c>
      <c r="H1275" s="177">
        <v>3564105000</v>
      </c>
      <c r="I1275" s="175">
        <v>2.884019232997078</v>
      </c>
      <c r="J1275" s="177">
        <v>36.710526315789473</v>
      </c>
    </row>
    <row r="1276" spans="1:10">
      <c r="A1276" s="65">
        <v>2718</v>
      </c>
      <c r="B1276" s="175">
        <v>0.26</v>
      </c>
      <c r="C1276" s="184">
        <v>0.88235294117647056</v>
      </c>
      <c r="D1276" s="177">
        <v>23076923.076923076</v>
      </c>
      <c r="E1276" s="26"/>
      <c r="F1276" s="184">
        <v>3.2433333333333321E-2</v>
      </c>
      <c r="G1276" s="177">
        <v>815769230.76923072</v>
      </c>
      <c r="H1276" s="177">
        <v>281988000</v>
      </c>
      <c r="I1276" s="175">
        <v>2.8929217937260829</v>
      </c>
      <c r="J1276" s="177">
        <v>38.522435897435898</v>
      </c>
    </row>
    <row r="1277" spans="1:10">
      <c r="A1277" s="65">
        <v>5508</v>
      </c>
      <c r="B1277" s="175">
        <v>1.03</v>
      </c>
      <c r="C1277" s="184">
        <v>1</v>
      </c>
      <c r="D1277" s="177">
        <v>181553398.05825242</v>
      </c>
      <c r="E1277" s="26"/>
      <c r="F1277" s="184">
        <v>0.2784416666666667</v>
      </c>
      <c r="G1277" s="177">
        <v>5591844660.1941748</v>
      </c>
      <c r="H1277" s="177">
        <v>1931471000</v>
      </c>
      <c r="I1277" s="175">
        <v>2.8951222463056263</v>
      </c>
      <c r="J1277" s="177">
        <v>7.4757281553398061</v>
      </c>
    </row>
    <row r="1278" spans="1:10">
      <c r="A1278" s="65">
        <v>1752</v>
      </c>
      <c r="B1278" s="175">
        <v>0.49</v>
      </c>
      <c r="C1278" s="184">
        <v>1</v>
      </c>
      <c r="D1278" s="177">
        <v>89795918.367346942</v>
      </c>
      <c r="E1278" s="26"/>
      <c r="F1278" s="184">
        <v>8.3750000000000074E-3</v>
      </c>
      <c r="G1278" s="177">
        <v>4251836734.6938777</v>
      </c>
      <c r="H1278" s="177">
        <v>1468100000</v>
      </c>
      <c r="I1278" s="175">
        <v>2.8961492641467732</v>
      </c>
      <c r="J1278" s="177">
        <v>24.158163265306122</v>
      </c>
    </row>
    <row r="1279" spans="1:10">
      <c r="A1279" s="65">
        <v>2066</v>
      </c>
      <c r="B1279" s="175">
        <v>1.31</v>
      </c>
      <c r="C1279" s="184">
        <v>1</v>
      </c>
      <c r="D1279" s="177">
        <v>35877862.595419846</v>
      </c>
      <c r="E1279" s="26"/>
      <c r="F1279" s="184">
        <v>2.2633333333333335E-2</v>
      </c>
      <c r="G1279" s="177">
        <v>3820992366.4122138</v>
      </c>
      <c r="H1279" s="177">
        <v>1312249000</v>
      </c>
      <c r="I1279" s="175">
        <v>2.9117891241770533</v>
      </c>
      <c r="J1279" s="177">
        <v>20.324427480916029</v>
      </c>
    </row>
    <row r="1280" spans="1:10">
      <c r="A1280" s="65">
        <v>3266</v>
      </c>
      <c r="B1280" s="175">
        <v>-0.18</v>
      </c>
      <c r="C1280" s="184">
        <v>1</v>
      </c>
      <c r="D1280" s="177">
        <v>344444444.44444448</v>
      </c>
      <c r="E1280" s="26"/>
      <c r="F1280" s="184">
        <v>1.1975083333333334</v>
      </c>
      <c r="G1280" s="177">
        <v>4529444444.4444447</v>
      </c>
      <c r="H1280" s="177">
        <v>1553844000</v>
      </c>
      <c r="I1280" s="175">
        <v>2.9149930394843011</v>
      </c>
      <c r="J1280" s="177">
        <v>0</v>
      </c>
    </row>
    <row r="1281" spans="1:10">
      <c r="A1281" s="65">
        <v>6183</v>
      </c>
      <c r="B1281" s="175">
        <v>0.45</v>
      </c>
      <c r="C1281" s="184">
        <v>0.967741935483871</v>
      </c>
      <c r="D1281" s="177">
        <v>151111111.1111111</v>
      </c>
      <c r="E1281" s="26"/>
      <c r="F1281" s="184">
        <v>7.1349999999999983E-2</v>
      </c>
      <c r="G1281" s="177">
        <v>3928888888.8888888</v>
      </c>
      <c r="H1281" s="177">
        <v>1345779000</v>
      </c>
      <c r="I1281" s="175">
        <v>2.9194161068711049</v>
      </c>
      <c r="J1281" s="177">
        <v>14.925925925925926</v>
      </c>
    </row>
    <row r="1282" spans="1:10">
      <c r="A1282" s="65">
        <v>8433</v>
      </c>
      <c r="B1282" s="175">
        <v>1.44</v>
      </c>
      <c r="C1282" s="184">
        <v>1</v>
      </c>
      <c r="D1282" s="177">
        <v>52777777.777777776</v>
      </c>
      <c r="E1282" s="26"/>
      <c r="F1282" s="184">
        <v>2.5816666666666658E-2</v>
      </c>
      <c r="G1282" s="177">
        <v>6940277777.7777777</v>
      </c>
      <c r="H1282" s="177">
        <v>2373745000</v>
      </c>
      <c r="I1282" s="175">
        <v>2.9237672023649455</v>
      </c>
      <c r="J1282" s="177">
        <v>22.829861111111111</v>
      </c>
    </row>
    <row r="1283" spans="1:10">
      <c r="A1283" s="65">
        <v>5202</v>
      </c>
      <c r="B1283" s="175">
        <v>0.16</v>
      </c>
      <c r="C1283" s="184">
        <v>0</v>
      </c>
      <c r="D1283" s="177">
        <v>56250000</v>
      </c>
      <c r="E1283" s="26"/>
      <c r="F1283" s="184">
        <v>5.7291666666666657E-2</v>
      </c>
      <c r="G1283" s="177">
        <v>812812500</v>
      </c>
      <c r="H1283" s="177">
        <v>277917000</v>
      </c>
      <c r="I1283" s="175">
        <v>2.9246591608285928</v>
      </c>
      <c r="J1283" s="177">
        <v>0</v>
      </c>
    </row>
    <row r="1284" spans="1:10">
      <c r="A1284" s="65">
        <v>6211</v>
      </c>
      <c r="B1284" s="175">
        <v>0</v>
      </c>
      <c r="C1284" s="184">
        <v>0</v>
      </c>
      <c r="D1284" s="177">
        <v>41600000</v>
      </c>
      <c r="E1284" s="26"/>
      <c r="F1284" s="184">
        <v>2.2258333333333335E-2</v>
      </c>
      <c r="G1284" s="177">
        <v>875680000</v>
      </c>
      <c r="H1284" s="177">
        <v>298036000</v>
      </c>
      <c r="I1284" s="175">
        <v>2.9381685433974418</v>
      </c>
      <c r="J1284" s="177">
        <v>0</v>
      </c>
    </row>
    <row r="1285" spans="1:10">
      <c r="A1285" s="65">
        <v>2496</v>
      </c>
      <c r="B1285" s="175">
        <v>-0.19</v>
      </c>
      <c r="C1285" s="184">
        <v>0.83333333333333337</v>
      </c>
      <c r="D1285" s="177">
        <v>36842105.263157897</v>
      </c>
      <c r="E1285" s="26"/>
      <c r="F1285" s="184">
        <v>0.28744999999999998</v>
      </c>
      <c r="G1285" s="177">
        <v>350000000</v>
      </c>
      <c r="H1285" s="177">
        <v>118809000</v>
      </c>
      <c r="I1285" s="175">
        <v>2.945904771524043</v>
      </c>
      <c r="J1285" s="177">
        <v>0</v>
      </c>
    </row>
    <row r="1286" spans="1:10">
      <c r="A1286" s="65">
        <v>1468</v>
      </c>
      <c r="B1286" s="175">
        <v>-0.09</v>
      </c>
      <c r="C1286" s="184">
        <v>0.13043478260869565</v>
      </c>
      <c r="D1286" s="177">
        <v>166666666.66666669</v>
      </c>
      <c r="E1286" s="26"/>
      <c r="F1286" s="184">
        <v>1.8024999999999996E-2</v>
      </c>
      <c r="G1286" s="177">
        <v>1600000000.0000002</v>
      </c>
      <c r="H1286" s="177">
        <v>542783000</v>
      </c>
      <c r="I1286" s="175">
        <v>2.9477710245162436</v>
      </c>
      <c r="J1286" s="177">
        <v>0</v>
      </c>
    </row>
    <row r="1287" spans="1:10">
      <c r="A1287" s="65">
        <v>6238</v>
      </c>
      <c r="B1287" s="175">
        <v>0.95</v>
      </c>
      <c r="C1287" s="184">
        <v>1</v>
      </c>
      <c r="D1287" s="177">
        <v>40000000</v>
      </c>
      <c r="E1287" s="26"/>
      <c r="F1287" s="184">
        <v>0.12621666666666667</v>
      </c>
      <c r="G1287" s="177">
        <v>6840000000</v>
      </c>
      <c r="H1287" s="177">
        <v>2313401000</v>
      </c>
      <c r="I1287" s="175">
        <v>2.9566858491026848</v>
      </c>
      <c r="J1287" s="177">
        <v>45</v>
      </c>
    </row>
    <row r="1288" spans="1:10">
      <c r="A1288" s="65">
        <v>1437</v>
      </c>
      <c r="B1288" s="175">
        <v>0.08</v>
      </c>
      <c r="C1288" s="184">
        <v>1</v>
      </c>
      <c r="D1288" s="177">
        <v>200000000</v>
      </c>
      <c r="E1288" s="26"/>
      <c r="F1288" s="184">
        <v>-1.4199999999999999E-2</v>
      </c>
      <c r="G1288" s="177">
        <v>2420000000</v>
      </c>
      <c r="H1288" s="177">
        <v>817265000</v>
      </c>
      <c r="I1288" s="175">
        <v>2.961095850183233</v>
      </c>
      <c r="J1288" s="177">
        <v>37.8125</v>
      </c>
    </row>
    <row r="1289" spans="1:10">
      <c r="A1289" s="65">
        <v>2524</v>
      </c>
      <c r="B1289" s="175">
        <v>0.03</v>
      </c>
      <c r="C1289" s="184">
        <v>1</v>
      </c>
      <c r="D1289" s="177">
        <v>333333333.33333337</v>
      </c>
      <c r="E1289" s="26"/>
      <c r="F1289" s="184">
        <v>-6.5133333333333335E-2</v>
      </c>
      <c r="G1289" s="177">
        <v>6283333333.3333349</v>
      </c>
      <c r="H1289" s="177">
        <v>2106427000</v>
      </c>
      <c r="I1289" s="175">
        <v>2.9829342926829816</v>
      </c>
      <c r="J1289" s="177">
        <v>50</v>
      </c>
    </row>
    <row r="1290" spans="1:10">
      <c r="A1290" s="65">
        <v>3105</v>
      </c>
      <c r="B1290" s="175">
        <v>0.72</v>
      </c>
      <c r="C1290" s="184">
        <v>1</v>
      </c>
      <c r="D1290" s="177">
        <v>745833333.33333337</v>
      </c>
      <c r="E1290" s="26"/>
      <c r="F1290" s="184">
        <v>5.6999999999999993E-3</v>
      </c>
      <c r="G1290" s="177">
        <v>34681250000</v>
      </c>
      <c r="H1290" s="177">
        <v>11561294000</v>
      </c>
      <c r="I1290" s="175">
        <v>2.9997723438224129</v>
      </c>
      <c r="J1290" s="177">
        <v>16.145833333333336</v>
      </c>
    </row>
    <row r="1291" spans="1:10">
      <c r="A1291" s="65">
        <v>2545</v>
      </c>
      <c r="B1291" s="175">
        <v>-0.41</v>
      </c>
      <c r="C1291" s="184">
        <v>0</v>
      </c>
      <c r="D1291" s="177">
        <v>329268292.68292683</v>
      </c>
      <c r="E1291" s="26"/>
      <c r="F1291" s="184">
        <v>4.4113416666666661</v>
      </c>
      <c r="G1291" s="177">
        <v>8890243902.439024</v>
      </c>
      <c r="H1291" s="177">
        <v>2963183000</v>
      </c>
      <c r="I1291" s="175">
        <v>3.0002345121577116</v>
      </c>
      <c r="J1291" s="177">
        <v>0</v>
      </c>
    </row>
    <row r="1292" spans="1:10">
      <c r="A1292" s="65">
        <v>2049</v>
      </c>
      <c r="B1292" s="175">
        <v>1.64</v>
      </c>
      <c r="C1292" s="184">
        <v>1</v>
      </c>
      <c r="D1292" s="177">
        <v>260975609.75609758</v>
      </c>
      <c r="E1292" s="26"/>
      <c r="F1292" s="184">
        <v>-8.0916666666666654E-3</v>
      </c>
      <c r="G1292" s="177">
        <v>47367073170.731712</v>
      </c>
      <c r="H1292" s="177">
        <v>15749515000</v>
      </c>
      <c r="I1292" s="175">
        <v>3.0075258298894734</v>
      </c>
      <c r="J1292" s="177">
        <v>27.667682926829269</v>
      </c>
    </row>
    <row r="1293" spans="1:10">
      <c r="A1293" s="65">
        <v>1262</v>
      </c>
      <c r="B1293" s="175">
        <v>2.68</v>
      </c>
      <c r="C1293" s="184">
        <v>1</v>
      </c>
      <c r="D1293" s="177">
        <v>148507462.68656716</v>
      </c>
      <c r="E1293" s="26"/>
      <c r="F1293" s="184">
        <v>7.3333333333333443E-4</v>
      </c>
      <c r="G1293" s="177">
        <v>18711940298.507462</v>
      </c>
      <c r="H1293" s="177">
        <v>6185192000</v>
      </c>
      <c r="I1293" s="175">
        <v>3.02528042759343</v>
      </c>
      <c r="J1293" s="177">
        <v>11.753731343283581</v>
      </c>
    </row>
    <row r="1294" spans="1:10">
      <c r="A1294" s="65">
        <v>3491</v>
      </c>
      <c r="B1294" s="175">
        <v>1.24</v>
      </c>
      <c r="C1294" s="184">
        <v>0.96261682242990654</v>
      </c>
      <c r="D1294" s="177">
        <v>51612903.225806452</v>
      </c>
      <c r="E1294" s="26"/>
      <c r="F1294" s="184">
        <v>1.8125000000000006E-2</v>
      </c>
      <c r="G1294" s="177">
        <v>4165161290.3225808</v>
      </c>
      <c r="H1294" s="177">
        <v>1371498000</v>
      </c>
      <c r="I1294" s="175">
        <v>3.0369430289527077</v>
      </c>
      <c r="J1294" s="177">
        <v>16.902012214218605</v>
      </c>
    </row>
    <row r="1295" spans="1:10">
      <c r="A1295" s="65">
        <v>1713</v>
      </c>
      <c r="B1295" s="175">
        <v>0.12</v>
      </c>
      <c r="C1295" s="184">
        <v>0.7142857142857143</v>
      </c>
      <c r="D1295" s="177">
        <v>141666666.66666669</v>
      </c>
      <c r="E1295" s="26"/>
      <c r="F1295" s="184">
        <v>1.0475E-2</v>
      </c>
      <c r="G1295" s="177">
        <v>2195833333.3333335</v>
      </c>
      <c r="H1295" s="177">
        <v>722298000</v>
      </c>
      <c r="I1295" s="175">
        <v>3.040065642343373</v>
      </c>
      <c r="J1295" s="177">
        <v>45.208333333333336</v>
      </c>
    </row>
    <row r="1296" spans="1:10">
      <c r="A1296" s="65">
        <v>3518</v>
      </c>
      <c r="B1296" s="175">
        <v>0.04</v>
      </c>
      <c r="C1296" s="184">
        <v>0</v>
      </c>
      <c r="D1296" s="177">
        <v>100000000</v>
      </c>
      <c r="E1296" s="26"/>
      <c r="F1296" s="184">
        <v>2.3941666666666667E-2</v>
      </c>
      <c r="G1296" s="177">
        <v>3760000000</v>
      </c>
      <c r="H1296" s="177">
        <v>1234101000</v>
      </c>
      <c r="I1296" s="175">
        <v>3.0467522512338943</v>
      </c>
      <c r="J1296" s="177">
        <v>0</v>
      </c>
    </row>
    <row r="1297" spans="1:10">
      <c r="A1297" s="65">
        <v>3234</v>
      </c>
      <c r="B1297" s="175">
        <v>0.77</v>
      </c>
      <c r="C1297" s="184">
        <v>0.97041420118343191</v>
      </c>
      <c r="D1297" s="177">
        <v>97402597.402597398</v>
      </c>
      <c r="E1297" s="26"/>
      <c r="F1297" s="184">
        <v>6.520833333333334E-2</v>
      </c>
      <c r="G1297" s="177">
        <v>11250000000</v>
      </c>
      <c r="H1297" s="177">
        <v>3685673000</v>
      </c>
      <c r="I1297" s="175">
        <v>3.0523597725571423</v>
      </c>
      <c r="J1297" s="177">
        <v>38.643292682926827</v>
      </c>
    </row>
    <row r="1298" spans="1:10">
      <c r="A1298" s="65">
        <v>3556</v>
      </c>
      <c r="B1298" s="175">
        <v>1.43</v>
      </c>
      <c r="C1298" s="184">
        <v>0.97580645161290325</v>
      </c>
      <c r="D1298" s="177">
        <v>53146853.146853149</v>
      </c>
      <c r="E1298" s="26"/>
      <c r="F1298" s="184">
        <v>4.5808333333333333E-2</v>
      </c>
      <c r="G1298" s="177">
        <v>2981538461.5384617</v>
      </c>
      <c r="H1298" s="177">
        <v>976536000</v>
      </c>
      <c r="I1298" s="175">
        <v>3.0531782356599875</v>
      </c>
      <c r="J1298" s="177">
        <v>10.050858232676415</v>
      </c>
    </row>
    <row r="1299" spans="1:10">
      <c r="A1299" s="65">
        <v>4119</v>
      </c>
      <c r="B1299" s="175">
        <v>1.79</v>
      </c>
      <c r="C1299" s="184">
        <v>1</v>
      </c>
      <c r="D1299" s="177">
        <v>69832402.234636873</v>
      </c>
      <c r="E1299" s="26"/>
      <c r="F1299" s="184">
        <v>0.10709999999999999</v>
      </c>
      <c r="G1299" s="177">
        <v>5537709497.2067041</v>
      </c>
      <c r="H1299" s="177">
        <v>1794676000</v>
      </c>
      <c r="I1299" s="175">
        <v>3.0856318896595845</v>
      </c>
      <c r="J1299" s="177">
        <v>11.075418994413408</v>
      </c>
    </row>
    <row r="1300" spans="1:10">
      <c r="A1300" s="65">
        <v>4126</v>
      </c>
      <c r="B1300" s="175">
        <v>0.71</v>
      </c>
      <c r="C1300" s="184">
        <v>1</v>
      </c>
      <c r="D1300" s="177">
        <v>66197183.098591551</v>
      </c>
      <c r="E1300" s="26"/>
      <c r="F1300" s="184">
        <v>1.458333333333333E-2</v>
      </c>
      <c r="G1300" s="177">
        <v>4819154929.5774651</v>
      </c>
      <c r="H1300" s="177">
        <v>1557354000</v>
      </c>
      <c r="I1300" s="175">
        <v>3.0944505421230275</v>
      </c>
      <c r="J1300" s="177">
        <v>25.633802816901408</v>
      </c>
    </row>
    <row r="1301" spans="1:10">
      <c r="A1301" s="65">
        <v>8942</v>
      </c>
      <c r="B1301" s="175">
        <v>1.76</v>
      </c>
      <c r="C1301" s="184">
        <v>1</v>
      </c>
      <c r="D1301" s="177">
        <v>154545454.54545453</v>
      </c>
      <c r="E1301" s="26"/>
      <c r="F1301" s="184">
        <v>5.3158333333333335E-2</v>
      </c>
      <c r="G1301" s="177">
        <v>15083636363.636362</v>
      </c>
      <c r="H1301" s="177">
        <v>4848389000</v>
      </c>
      <c r="I1301" s="175">
        <v>3.1110615017970633</v>
      </c>
      <c r="J1301" s="177">
        <v>13.863636363636363</v>
      </c>
    </row>
    <row r="1302" spans="1:10">
      <c r="A1302" s="65">
        <v>6224</v>
      </c>
      <c r="B1302" s="175">
        <v>1.67</v>
      </c>
      <c r="C1302" s="184">
        <v>0.96120689655172409</v>
      </c>
      <c r="D1302" s="177">
        <v>79640718.562874258</v>
      </c>
      <c r="E1302" s="26"/>
      <c r="F1302" s="184">
        <v>1.7524999999999999E-2</v>
      </c>
      <c r="G1302" s="177">
        <v>5136826347.3053894</v>
      </c>
      <c r="H1302" s="177">
        <v>1648588000</v>
      </c>
      <c r="I1302" s="175">
        <v>3.1158945396335467</v>
      </c>
      <c r="J1302" s="177">
        <v>10.04538009183427</v>
      </c>
    </row>
    <row r="1303" spans="1:10">
      <c r="A1303" s="65">
        <v>2434</v>
      </c>
      <c r="B1303" s="175">
        <v>-0.44</v>
      </c>
      <c r="C1303" s="184">
        <v>0.94680851063829785</v>
      </c>
      <c r="D1303" s="177">
        <v>111363636.36363636</v>
      </c>
      <c r="E1303" s="26"/>
      <c r="F1303" s="184">
        <v>0.11162499999999997</v>
      </c>
      <c r="G1303" s="177">
        <v>708272727.27272725</v>
      </c>
      <c r="H1303" s="177">
        <v>227151000</v>
      </c>
      <c r="I1303" s="175">
        <v>3.1180700383125202</v>
      </c>
      <c r="J1303" s="177">
        <v>0</v>
      </c>
    </row>
    <row r="1304" spans="1:10">
      <c r="A1304" s="65">
        <v>1813</v>
      </c>
      <c r="B1304" s="175">
        <v>0.41</v>
      </c>
      <c r="C1304" s="184">
        <v>0.25641025641025639</v>
      </c>
      <c r="D1304" s="177">
        <v>46341463.414634146</v>
      </c>
      <c r="E1304" s="26"/>
      <c r="F1304" s="184">
        <v>2.0966666666666665E-2</v>
      </c>
      <c r="G1304" s="177">
        <v>1204878048.7804878</v>
      </c>
      <c r="H1304" s="177">
        <v>385163000</v>
      </c>
      <c r="I1304" s="175">
        <v>3.128228954443931</v>
      </c>
      <c r="J1304" s="177">
        <v>50</v>
      </c>
    </row>
    <row r="1305" spans="1:10">
      <c r="A1305" s="65">
        <v>1229</v>
      </c>
      <c r="B1305" s="180">
        <v>0.84</v>
      </c>
      <c r="C1305" s="184">
        <v>7.1213640922768301E-2</v>
      </c>
      <c r="D1305" s="181">
        <v>851190476.19047618</v>
      </c>
      <c r="E1305" s="179"/>
      <c r="F1305" s="184">
        <v>1.1558333333333335E-2</v>
      </c>
      <c r="G1305" s="181">
        <v>16725892857.142857</v>
      </c>
      <c r="H1305" s="181">
        <v>5316788000</v>
      </c>
      <c r="I1305" s="180">
        <v>3.145864167828933</v>
      </c>
      <c r="J1305" s="181">
        <v>50</v>
      </c>
    </row>
    <row r="1306" spans="1:10">
      <c r="A1306" s="65">
        <v>4164</v>
      </c>
      <c r="B1306" s="175">
        <v>0.78</v>
      </c>
      <c r="C1306" s="184">
        <v>1</v>
      </c>
      <c r="D1306" s="177">
        <v>129487179.48717949</v>
      </c>
      <c r="E1306" s="26"/>
      <c r="F1306" s="184">
        <v>0.29314999999999997</v>
      </c>
      <c r="G1306" s="177">
        <v>7432564102.5641022</v>
      </c>
      <c r="H1306" s="177">
        <v>2346646000</v>
      </c>
      <c r="I1306" s="175">
        <v>3.1673137331170111</v>
      </c>
      <c r="J1306" s="177">
        <v>18.397435897435898</v>
      </c>
    </row>
    <row r="1307" spans="1:10">
      <c r="A1307" s="65">
        <v>6289</v>
      </c>
      <c r="B1307" s="175">
        <v>-0.23</v>
      </c>
      <c r="C1307" s="184">
        <v>1</v>
      </c>
      <c r="D1307" s="177">
        <v>265217391.30434781</v>
      </c>
      <c r="E1307" s="26"/>
      <c r="F1307" s="184">
        <v>1.3749999999999998E-2</v>
      </c>
      <c r="G1307" s="177">
        <v>384565217.39130431</v>
      </c>
      <c r="H1307" s="177">
        <v>120543000</v>
      </c>
      <c r="I1307" s="175">
        <v>3.190274154378971</v>
      </c>
      <c r="J1307" s="177">
        <v>0</v>
      </c>
    </row>
    <row r="1308" spans="1:10">
      <c r="A1308" s="65">
        <v>3226</v>
      </c>
      <c r="B1308" s="175">
        <v>0.59</v>
      </c>
      <c r="C1308" s="184">
        <v>1</v>
      </c>
      <c r="D1308" s="177">
        <v>64406779.661016956</v>
      </c>
      <c r="E1308" s="26"/>
      <c r="F1308" s="184">
        <v>5.4191666666666666E-2</v>
      </c>
      <c r="G1308" s="177">
        <v>3278305084.7457628</v>
      </c>
      <c r="H1308" s="177">
        <v>1027528000</v>
      </c>
      <c r="I1308" s="175">
        <v>3.1904776169075322</v>
      </c>
      <c r="J1308" s="177">
        <v>21.567796610169491</v>
      </c>
    </row>
    <row r="1309" spans="1:10">
      <c r="A1309" s="65">
        <v>3682</v>
      </c>
      <c r="B1309" s="175">
        <v>-0.2</v>
      </c>
      <c r="C1309" s="184">
        <v>1</v>
      </c>
      <c r="D1309" s="177">
        <v>3965000000</v>
      </c>
      <c r="E1309" s="26"/>
      <c r="F1309" s="184">
        <v>-6.0083333333333334E-3</v>
      </c>
      <c r="G1309" s="177">
        <v>48174750000</v>
      </c>
      <c r="H1309" s="177">
        <v>15090856000</v>
      </c>
      <c r="I1309" s="175">
        <v>3.1923139416345898</v>
      </c>
      <c r="J1309" s="177">
        <v>0</v>
      </c>
    </row>
    <row r="1310" spans="1:10">
      <c r="A1310" s="65">
        <v>2923</v>
      </c>
      <c r="B1310" s="175">
        <v>0.46</v>
      </c>
      <c r="C1310" s="184">
        <v>1</v>
      </c>
      <c r="D1310" s="177">
        <v>1730434782.6086955</v>
      </c>
      <c r="E1310" s="26"/>
      <c r="F1310" s="184">
        <v>0.64485833333333331</v>
      </c>
      <c r="G1310" s="177">
        <v>43260869565.217384</v>
      </c>
      <c r="H1310" s="177">
        <v>13550522000</v>
      </c>
      <c r="I1310" s="175">
        <v>3.1925611105769494</v>
      </c>
      <c r="J1310" s="177">
        <v>13.586956521739129</v>
      </c>
    </row>
    <row r="1311" spans="1:10">
      <c r="A1311" s="65">
        <v>3563</v>
      </c>
      <c r="B1311" s="175">
        <v>0.93</v>
      </c>
      <c r="C1311" s="184">
        <v>1</v>
      </c>
      <c r="D1311" s="177">
        <v>43010752.688172042</v>
      </c>
      <c r="E1311" s="26"/>
      <c r="F1311" s="184">
        <v>2.1000000000000012E-3</v>
      </c>
      <c r="G1311" s="177">
        <v>1956989247.3118279</v>
      </c>
      <c r="H1311" s="177">
        <v>611442000</v>
      </c>
      <c r="I1311" s="175">
        <v>3.200613054569081</v>
      </c>
      <c r="J1311" s="177">
        <v>12.231182795698924</v>
      </c>
    </row>
    <row r="1312" spans="1:10">
      <c r="A1312" s="65">
        <v>1446</v>
      </c>
      <c r="B1312" s="175">
        <v>-0.03</v>
      </c>
      <c r="C1312" s="184">
        <v>0</v>
      </c>
      <c r="D1312" s="177">
        <v>133333333.33333334</v>
      </c>
      <c r="E1312" s="26"/>
      <c r="F1312" s="184">
        <v>9.8691666666666664E-2</v>
      </c>
      <c r="G1312" s="177">
        <v>2766666666.666667</v>
      </c>
      <c r="H1312" s="177">
        <v>863319000</v>
      </c>
      <c r="I1312" s="175">
        <v>3.2046864098515924</v>
      </c>
      <c r="J1312" s="177">
        <v>0</v>
      </c>
    </row>
    <row r="1313" spans="1:11">
      <c r="A1313" s="65">
        <v>8436</v>
      </c>
      <c r="B1313" s="175">
        <v>1.07</v>
      </c>
      <c r="C1313" s="184">
        <v>0.92929292929292928</v>
      </c>
      <c r="D1313" s="177">
        <v>60747663.551401868</v>
      </c>
      <c r="E1313" s="26"/>
      <c r="F1313" s="184">
        <v>4.9408333333333339E-2</v>
      </c>
      <c r="G1313" s="177">
        <v>6257009345.7943926</v>
      </c>
      <c r="H1313" s="177">
        <v>1946274000</v>
      </c>
      <c r="I1313" s="175">
        <v>3.2148656077173063</v>
      </c>
      <c r="J1313" s="177">
        <v>25.896485168630637</v>
      </c>
    </row>
    <row r="1314" spans="1:11">
      <c r="A1314" s="65">
        <v>2107</v>
      </c>
      <c r="B1314" s="175">
        <v>-0.02</v>
      </c>
      <c r="C1314" s="184">
        <v>1</v>
      </c>
      <c r="D1314" s="177">
        <v>450000000</v>
      </c>
      <c r="E1314" s="26"/>
      <c r="F1314" s="184">
        <v>0.25946666666666668</v>
      </c>
      <c r="G1314" s="177">
        <v>8190000000</v>
      </c>
      <c r="H1314" s="177">
        <v>2536237000</v>
      </c>
      <c r="I1314" s="175">
        <v>3.2291934862554248</v>
      </c>
      <c r="J1314" s="177">
        <v>0</v>
      </c>
    </row>
    <row r="1315" spans="1:11">
      <c r="A1315" s="65">
        <v>4549</v>
      </c>
      <c r="B1315" s="175">
        <v>1.04</v>
      </c>
      <c r="C1315" s="184">
        <v>0.953125</v>
      </c>
      <c r="D1315" s="177">
        <v>36538461.538461536</v>
      </c>
      <c r="E1315" s="26"/>
      <c r="F1315" s="184">
        <v>-9.5166666666666663E-3</v>
      </c>
      <c r="G1315" s="177">
        <v>2733076923.0769229</v>
      </c>
      <c r="H1315" s="177">
        <v>845854000</v>
      </c>
      <c r="I1315" s="175">
        <v>3.2311450002919213</v>
      </c>
      <c r="J1315" s="177">
        <v>18.865069356872635</v>
      </c>
    </row>
    <row r="1316" spans="1:11">
      <c r="A1316" s="65">
        <v>5704</v>
      </c>
      <c r="B1316" s="175">
        <v>0.05</v>
      </c>
      <c r="C1316" s="184">
        <v>0.84210526315789469</v>
      </c>
      <c r="D1316" s="177">
        <v>40000000</v>
      </c>
      <c r="E1316" s="26"/>
      <c r="F1316" s="184">
        <v>4.4874999999999998E-2</v>
      </c>
      <c r="G1316" s="177">
        <v>1078000000</v>
      </c>
      <c r="H1316" s="177">
        <v>330788000</v>
      </c>
      <c r="I1316" s="175">
        <v>3.25888484467393</v>
      </c>
      <c r="J1316" s="177">
        <v>50</v>
      </c>
    </row>
    <row r="1317" spans="1:11">
      <c r="A1317" s="65">
        <v>3035</v>
      </c>
      <c r="B1317" s="175">
        <v>0.43</v>
      </c>
      <c r="C1317" s="184">
        <v>1</v>
      </c>
      <c r="D1317" s="177">
        <v>416279069.76744187</v>
      </c>
      <c r="E1317" s="26"/>
      <c r="F1317" s="184">
        <v>6.3833333333333346E-3</v>
      </c>
      <c r="G1317" s="177">
        <v>21022093023.255814</v>
      </c>
      <c r="H1317" s="177">
        <v>6443651000</v>
      </c>
      <c r="I1317" s="175">
        <v>3.2624505925686873</v>
      </c>
      <c r="J1317" s="177">
        <v>29.36046511627907</v>
      </c>
    </row>
    <row r="1318" spans="1:11">
      <c r="A1318" s="65">
        <v>8416</v>
      </c>
      <c r="B1318" s="175">
        <v>1.94</v>
      </c>
      <c r="C1318" s="184">
        <v>0.90697674418604646</v>
      </c>
      <c r="D1318" s="177">
        <v>25773195.87628866</v>
      </c>
      <c r="E1318" s="26"/>
      <c r="F1318" s="184">
        <v>5.6891666666666667E-2</v>
      </c>
      <c r="G1318" s="177">
        <v>2680412371.1340208</v>
      </c>
      <c r="H1318" s="177">
        <v>821257000</v>
      </c>
      <c r="I1318" s="175">
        <v>3.2637924195885342</v>
      </c>
      <c r="J1318" s="177">
        <v>14.776632302405499</v>
      </c>
    </row>
    <row r="1319" spans="1:11">
      <c r="A1319" s="65">
        <v>2540</v>
      </c>
      <c r="B1319" s="175">
        <v>0.02</v>
      </c>
      <c r="C1319" s="184">
        <v>1</v>
      </c>
      <c r="D1319" s="177">
        <v>100000000</v>
      </c>
      <c r="E1319" s="26"/>
      <c r="F1319" s="184">
        <v>0.13894999999999999</v>
      </c>
      <c r="G1319" s="177">
        <v>2905000000</v>
      </c>
      <c r="H1319" s="177">
        <v>888427000</v>
      </c>
      <c r="I1319" s="175">
        <v>3.2698240823387854</v>
      </c>
      <c r="J1319" s="177">
        <v>50</v>
      </c>
    </row>
    <row r="1320" spans="1:11">
      <c r="A1320" s="65">
        <v>5398</v>
      </c>
      <c r="B1320" s="175">
        <v>-1.17</v>
      </c>
      <c r="C1320" s="184">
        <v>0.26027397260273971</v>
      </c>
      <c r="D1320" s="177">
        <v>41880341.88034188</v>
      </c>
      <c r="E1320" s="26"/>
      <c r="F1320" s="184">
        <v>2.8408333333333331E-2</v>
      </c>
      <c r="G1320" s="177">
        <v>760128205.12820506</v>
      </c>
      <c r="H1320" s="177">
        <v>232039000</v>
      </c>
      <c r="I1320" s="175">
        <v>3.2758639932433988</v>
      </c>
      <c r="J1320" s="177">
        <v>0</v>
      </c>
    </row>
    <row r="1321" spans="1:11">
      <c r="A1321" s="65">
        <v>4950</v>
      </c>
      <c r="B1321" s="175">
        <v>-0.28000000000000003</v>
      </c>
      <c r="C1321" s="184">
        <v>1</v>
      </c>
      <c r="D1321" s="177">
        <v>53571428.571428567</v>
      </c>
      <c r="E1321" s="26"/>
      <c r="F1321" s="184">
        <v>0.24828333333333333</v>
      </c>
      <c r="G1321" s="177">
        <v>1017857142.8571428</v>
      </c>
      <c r="H1321" s="177">
        <v>310493000</v>
      </c>
      <c r="I1321" s="175">
        <v>3.2781967479368062</v>
      </c>
      <c r="J1321" s="177">
        <v>0</v>
      </c>
      <c r="K1321" s="32"/>
    </row>
    <row r="1322" spans="1:11">
      <c r="A1322" s="65">
        <v>9917</v>
      </c>
      <c r="B1322" s="175">
        <v>1.17</v>
      </c>
      <c r="C1322" s="184">
        <v>0.8626692456479691</v>
      </c>
      <c r="D1322" s="177">
        <v>440170940.17094022</v>
      </c>
      <c r="E1322" s="26"/>
      <c r="F1322" s="184">
        <v>2.3666666666666684E-3</v>
      </c>
      <c r="G1322" s="177">
        <v>44017094017.094025</v>
      </c>
      <c r="H1322" s="177">
        <v>13363345000</v>
      </c>
      <c r="I1322" s="175">
        <v>3.2938679662235781</v>
      </c>
      <c r="J1322" s="177">
        <v>24.769077459660419</v>
      </c>
    </row>
    <row r="1323" spans="1:11">
      <c r="A1323" s="65">
        <v>2228</v>
      </c>
      <c r="B1323" s="175">
        <v>1.57</v>
      </c>
      <c r="C1323" s="184">
        <v>0.77865612648221338</v>
      </c>
      <c r="D1323" s="177">
        <v>71974522.292993635</v>
      </c>
      <c r="E1323" s="26"/>
      <c r="F1323" s="184">
        <v>1.495833333333333E-2</v>
      </c>
      <c r="G1323" s="177">
        <v>12451592356.687899</v>
      </c>
      <c r="H1323" s="177">
        <v>3776088000</v>
      </c>
      <c r="I1323" s="175">
        <v>3.2974846869797259</v>
      </c>
      <c r="J1323" s="177">
        <v>35.378609072391605</v>
      </c>
    </row>
    <row r="1324" spans="1:11">
      <c r="A1324" s="65">
        <v>2474</v>
      </c>
      <c r="B1324" s="175">
        <v>6.81</v>
      </c>
      <c r="C1324" s="184">
        <v>0.93352863925649054</v>
      </c>
      <c r="D1324" s="177">
        <v>770484581.49779737</v>
      </c>
      <c r="E1324" s="26"/>
      <c r="F1324" s="184">
        <v>4.9116666666666663E-2</v>
      </c>
      <c r="G1324" s="177">
        <v>260423788546.25552</v>
      </c>
      <c r="H1324" s="177">
        <v>78757042000</v>
      </c>
      <c r="I1324" s="175">
        <v>3.306673053391918</v>
      </c>
      <c r="J1324" s="177">
        <v>13.291743476726413</v>
      </c>
    </row>
    <row r="1325" spans="1:11">
      <c r="A1325" s="65">
        <v>4129</v>
      </c>
      <c r="B1325" s="175">
        <v>0.91</v>
      </c>
      <c r="C1325" s="184">
        <v>1</v>
      </c>
      <c r="D1325" s="177">
        <v>56043956.043956041</v>
      </c>
      <c r="E1325" s="26"/>
      <c r="F1325" s="184">
        <v>3.8925000000000001E-2</v>
      </c>
      <c r="G1325" s="177">
        <v>4444285714.2857141</v>
      </c>
      <c r="H1325" s="177">
        <v>1342603000</v>
      </c>
      <c r="I1325" s="175">
        <v>3.3102009412206841</v>
      </c>
      <c r="J1325" s="177">
        <v>21.785714285714285</v>
      </c>
    </row>
    <row r="1326" spans="1:11">
      <c r="A1326" s="65">
        <v>2412</v>
      </c>
      <c r="B1326" s="175">
        <v>1.44</v>
      </c>
      <c r="C1326" s="184">
        <v>0.94942464736451371</v>
      </c>
      <c r="D1326" s="177">
        <v>7731944444.4444447</v>
      </c>
      <c r="E1326" s="26"/>
      <c r="F1326" s="184">
        <v>-1.0416666666666664E-3</v>
      </c>
      <c r="G1326" s="177">
        <v>765462500000</v>
      </c>
      <c r="H1326" s="177">
        <v>229278203000</v>
      </c>
      <c r="I1326" s="175">
        <v>3.3385751021434862</v>
      </c>
      <c r="J1326" s="177">
        <v>18.103069103704428</v>
      </c>
    </row>
    <row r="1327" spans="1:11">
      <c r="A1327" s="65">
        <v>8261</v>
      </c>
      <c r="B1327" s="175">
        <v>0.13</v>
      </c>
      <c r="C1327" s="184">
        <v>0.91666666666666663</v>
      </c>
      <c r="D1327" s="177">
        <v>176923076.92307693</v>
      </c>
      <c r="E1327" s="26"/>
      <c r="F1327" s="184">
        <v>-2.4941666666666668E-2</v>
      </c>
      <c r="G1327" s="177">
        <v>5511153846.1538458</v>
      </c>
      <c r="H1327" s="177">
        <v>1650617000</v>
      </c>
      <c r="I1327" s="175">
        <v>3.338844714524233</v>
      </c>
      <c r="J1327" s="177">
        <v>50</v>
      </c>
    </row>
    <row r="1328" spans="1:11">
      <c r="A1328" s="65">
        <v>1590</v>
      </c>
      <c r="B1328" s="175">
        <v>3.1</v>
      </c>
      <c r="C1328" s="184">
        <v>0.98877805486284287</v>
      </c>
      <c r="D1328" s="177">
        <v>179032258.06451613</v>
      </c>
      <c r="E1328" s="26"/>
      <c r="F1328" s="184">
        <v>5.1841666666666668E-2</v>
      </c>
      <c r="G1328" s="177">
        <v>29092741935.483871</v>
      </c>
      <c r="H1328" s="177">
        <v>8688005000</v>
      </c>
      <c r="I1328" s="175">
        <v>3.3486101740829883</v>
      </c>
      <c r="J1328" s="177">
        <v>13.253569539925964</v>
      </c>
    </row>
    <row r="1329" spans="1:10">
      <c r="A1329" s="65">
        <v>5904</v>
      </c>
      <c r="B1329" s="175">
        <v>2.93</v>
      </c>
      <c r="C1329" s="184">
        <v>0.97101449275362317</v>
      </c>
      <c r="D1329" s="177">
        <v>95221843.003412962</v>
      </c>
      <c r="E1329" s="26"/>
      <c r="F1329" s="184">
        <v>1.5941666666666666E-2</v>
      </c>
      <c r="G1329" s="177">
        <v>35374914675.767914</v>
      </c>
      <c r="H1329" s="177">
        <v>10531782000</v>
      </c>
      <c r="I1329" s="175">
        <v>3.3588726652116341</v>
      </c>
      <c r="J1329" s="177">
        <v>32.644159747338392</v>
      </c>
    </row>
    <row r="1330" spans="1:10">
      <c r="A1330" s="65">
        <v>6169</v>
      </c>
      <c r="B1330" s="175">
        <v>-1.48</v>
      </c>
      <c r="C1330" s="184">
        <v>0.89855072463768115</v>
      </c>
      <c r="D1330" s="177">
        <v>28378378.37837838</v>
      </c>
      <c r="E1330" s="26"/>
      <c r="F1330" s="184">
        <v>8.8716666666666666E-2</v>
      </c>
      <c r="G1330" s="177">
        <v>618648648.64864874</v>
      </c>
      <c r="H1330" s="177">
        <v>182728000</v>
      </c>
      <c r="I1330" s="175">
        <v>3.3856258955860556</v>
      </c>
      <c r="J1330" s="177">
        <v>0</v>
      </c>
    </row>
    <row r="1331" spans="1:10">
      <c r="A1331" s="65">
        <v>5272</v>
      </c>
      <c r="B1331" s="175">
        <v>0.28000000000000003</v>
      </c>
      <c r="C1331" s="184">
        <v>0.97058823529411764</v>
      </c>
      <c r="D1331" s="177">
        <v>49999999.999999993</v>
      </c>
      <c r="E1331" s="26"/>
      <c r="F1331" s="184">
        <v>-6.9166666666666638E-3</v>
      </c>
      <c r="G1331" s="177">
        <v>2149999999.9999995</v>
      </c>
      <c r="H1331" s="177">
        <v>630126000</v>
      </c>
      <c r="I1331" s="175">
        <v>3.4120160094965128</v>
      </c>
      <c r="J1331" s="177">
        <v>39.556277056277054</v>
      </c>
    </row>
    <row r="1332" spans="1:10">
      <c r="A1332" s="65">
        <v>3293</v>
      </c>
      <c r="B1332" s="175">
        <v>1.1000000000000001</v>
      </c>
      <c r="C1332" s="184">
        <v>0.94791666666666663</v>
      </c>
      <c r="D1332" s="177">
        <v>70000000</v>
      </c>
      <c r="E1332" s="26"/>
      <c r="F1332" s="184">
        <v>2.8525000000000005E-2</v>
      </c>
      <c r="G1332" s="177">
        <v>6076000000</v>
      </c>
      <c r="H1332" s="177">
        <v>1775661000</v>
      </c>
      <c r="I1332" s="175">
        <v>3.421824323449127</v>
      </c>
      <c r="J1332" s="177">
        <v>20.81118881118881</v>
      </c>
    </row>
    <row r="1333" spans="1:10">
      <c r="A1333" s="65">
        <v>6228</v>
      </c>
      <c r="B1333" s="175">
        <v>-0.37</v>
      </c>
      <c r="C1333" s="184">
        <v>0.91666666666666663</v>
      </c>
      <c r="D1333" s="177">
        <v>40540540.540540539</v>
      </c>
      <c r="E1333" s="26"/>
      <c r="F1333" s="184">
        <v>0.9587500000000001</v>
      </c>
      <c r="G1333" s="177">
        <v>510810810.81081074</v>
      </c>
      <c r="H1333" s="177">
        <v>148792000</v>
      </c>
      <c r="I1333" s="175">
        <v>3.4330529249610917</v>
      </c>
      <c r="J1333" s="177">
        <v>0</v>
      </c>
    </row>
    <row r="1334" spans="1:10">
      <c r="A1334" s="65">
        <v>3552</v>
      </c>
      <c r="B1334" s="175">
        <v>2</v>
      </c>
      <c r="C1334" s="184">
        <v>1</v>
      </c>
      <c r="D1334" s="177">
        <v>84500000</v>
      </c>
      <c r="E1334" s="26"/>
      <c r="F1334" s="184">
        <v>4.775833333333334E-2</v>
      </c>
      <c r="G1334" s="177">
        <v>21885500000</v>
      </c>
      <c r="H1334" s="177">
        <v>6366961000</v>
      </c>
      <c r="I1334" s="175">
        <v>3.4373541788617836</v>
      </c>
      <c r="J1334" s="177">
        <v>32.375</v>
      </c>
    </row>
    <row r="1335" spans="1:10">
      <c r="A1335" s="65">
        <v>1707</v>
      </c>
      <c r="B1335" s="175">
        <v>1.87</v>
      </c>
      <c r="C1335" s="184">
        <v>0.91493775933609955</v>
      </c>
      <c r="D1335" s="177">
        <v>130481283.42245989</v>
      </c>
      <c r="E1335" s="26"/>
      <c r="F1335" s="184">
        <v>2.0725E-2</v>
      </c>
      <c r="G1335" s="177">
        <v>24073796791.443848</v>
      </c>
      <c r="H1335" s="177">
        <v>6993053000</v>
      </c>
      <c r="I1335" s="175">
        <v>3.4425302927696739</v>
      </c>
      <c r="J1335" s="177">
        <v>26.958965404343555</v>
      </c>
    </row>
    <row r="1336" spans="1:10">
      <c r="A1336" s="65">
        <v>4747</v>
      </c>
      <c r="B1336" s="175">
        <v>0.46</v>
      </c>
      <c r="C1336" s="184">
        <v>0.9285714285714286</v>
      </c>
      <c r="D1336" s="177">
        <v>30434782.608695652</v>
      </c>
      <c r="E1336" s="26"/>
      <c r="F1336" s="184">
        <v>1.35E-2</v>
      </c>
      <c r="G1336" s="177">
        <v>1261521739.130435</v>
      </c>
      <c r="H1336" s="177">
        <v>366184000</v>
      </c>
      <c r="I1336" s="175">
        <v>3.4450487709196334</v>
      </c>
      <c r="J1336" s="177">
        <v>24.260033444816056</v>
      </c>
    </row>
    <row r="1337" spans="1:10">
      <c r="A1337" s="65">
        <v>3310</v>
      </c>
      <c r="B1337" s="175">
        <v>0.1</v>
      </c>
      <c r="C1337" s="184">
        <v>1</v>
      </c>
      <c r="D1337" s="177">
        <v>120000000</v>
      </c>
      <c r="E1337" s="26"/>
      <c r="F1337" s="184">
        <v>5.6000000000000034E-3</v>
      </c>
      <c r="G1337" s="177">
        <v>1608000000</v>
      </c>
      <c r="H1337" s="177">
        <v>464086000</v>
      </c>
      <c r="I1337" s="175">
        <v>3.4648750447115404</v>
      </c>
      <c r="J1337" s="177">
        <v>33.5</v>
      </c>
    </row>
    <row r="1338" spans="1:10">
      <c r="A1338" s="65">
        <v>2904</v>
      </c>
      <c r="B1338" s="175">
        <v>0.65</v>
      </c>
      <c r="C1338" s="184">
        <v>0.86206896551724133</v>
      </c>
      <c r="D1338" s="177">
        <v>69230769.230769232</v>
      </c>
      <c r="E1338" s="26"/>
      <c r="F1338" s="184">
        <v>-9.2166666666666647E-3</v>
      </c>
      <c r="G1338" s="177">
        <v>1782692307.6923077</v>
      </c>
      <c r="H1338" s="177">
        <v>513257000</v>
      </c>
      <c r="I1338" s="175">
        <v>3.4732937060620852</v>
      </c>
      <c r="J1338" s="177">
        <v>11.488461538461539</v>
      </c>
    </row>
    <row r="1339" spans="1:10">
      <c r="A1339" s="65">
        <v>1906</v>
      </c>
      <c r="B1339" s="175">
        <v>0.72</v>
      </c>
      <c r="C1339" s="184">
        <v>0</v>
      </c>
      <c r="D1339" s="177">
        <v>148611111.1111111</v>
      </c>
      <c r="E1339" s="26"/>
      <c r="F1339" s="184">
        <v>8.0058333333333342E-2</v>
      </c>
      <c r="G1339" s="177">
        <v>1221583333.3333335</v>
      </c>
      <c r="H1339" s="177">
        <v>350778000</v>
      </c>
      <c r="I1339" s="175">
        <v>3.4824970019024382</v>
      </c>
      <c r="J1339" s="177">
        <v>0</v>
      </c>
    </row>
    <row r="1340" spans="1:10">
      <c r="A1340" s="65">
        <v>5395</v>
      </c>
      <c r="B1340" s="175">
        <v>0.01</v>
      </c>
      <c r="C1340" s="184">
        <v>1</v>
      </c>
      <c r="D1340" s="177">
        <v>100000000</v>
      </c>
      <c r="E1340" s="26"/>
      <c r="F1340" s="184">
        <v>2.0539166666666668</v>
      </c>
      <c r="G1340" s="177">
        <v>3360000000</v>
      </c>
      <c r="H1340" s="177">
        <v>950496000</v>
      </c>
      <c r="I1340" s="175">
        <v>3.5349964650035348</v>
      </c>
      <c r="J1340" s="177">
        <v>50</v>
      </c>
    </row>
    <row r="1341" spans="1:10">
      <c r="A1341" s="65">
        <v>5345</v>
      </c>
      <c r="B1341" s="175">
        <v>0.64</v>
      </c>
      <c r="C1341" s="184">
        <v>0</v>
      </c>
      <c r="D1341" s="177">
        <v>50000000</v>
      </c>
      <c r="E1341" s="26"/>
      <c r="F1341" s="184">
        <v>0.2017916666666667</v>
      </c>
      <c r="G1341" s="177">
        <v>517500000</v>
      </c>
      <c r="H1341" s="177">
        <v>146039000</v>
      </c>
      <c r="I1341" s="175">
        <v>3.5435739768144128</v>
      </c>
      <c r="J1341" s="177">
        <v>0</v>
      </c>
    </row>
    <row r="1342" spans="1:10">
      <c r="A1342" s="65">
        <v>1777</v>
      </c>
      <c r="B1342" s="175">
        <v>0.77</v>
      </c>
      <c r="C1342" s="184">
        <v>1</v>
      </c>
      <c r="D1342" s="177">
        <v>29870129.870129868</v>
      </c>
      <c r="E1342" s="26"/>
      <c r="F1342" s="184">
        <v>1.0966666666666666E-2</v>
      </c>
      <c r="G1342" s="177">
        <v>2329870129.8701296</v>
      </c>
      <c r="H1342" s="177">
        <v>655116000</v>
      </c>
      <c r="I1342" s="175">
        <v>3.5564237934505178</v>
      </c>
      <c r="J1342" s="177">
        <v>25.324675324675326</v>
      </c>
    </row>
    <row r="1343" spans="1:10">
      <c r="A1343" s="65">
        <v>6198</v>
      </c>
      <c r="B1343" s="175">
        <v>-0.32</v>
      </c>
      <c r="C1343" s="184">
        <v>1</v>
      </c>
      <c r="D1343" s="177">
        <v>18750000</v>
      </c>
      <c r="E1343" s="26"/>
      <c r="F1343" s="184">
        <v>-1.8191666666666662E-2</v>
      </c>
      <c r="G1343" s="177">
        <v>274687500</v>
      </c>
      <c r="H1343" s="177">
        <v>76684000</v>
      </c>
      <c r="I1343" s="175">
        <v>3.5820705753481823</v>
      </c>
      <c r="J1343" s="177">
        <v>0</v>
      </c>
    </row>
    <row r="1344" spans="1:10">
      <c r="A1344" s="65">
        <v>4420</v>
      </c>
      <c r="B1344" s="175">
        <v>2.56</v>
      </c>
      <c r="C1344" s="184">
        <v>0.14814814814814814</v>
      </c>
      <c r="D1344" s="177">
        <v>29296875</v>
      </c>
      <c r="E1344" s="26"/>
      <c r="F1344" s="184">
        <v>0.10039999999999999</v>
      </c>
      <c r="G1344" s="177">
        <v>1699218750</v>
      </c>
      <c r="H1344" s="177">
        <v>471460000</v>
      </c>
      <c r="I1344" s="175">
        <v>3.6041631315488059</v>
      </c>
      <c r="J1344" s="177">
        <v>38.232421875</v>
      </c>
    </row>
    <row r="1345" spans="1:10">
      <c r="A1345" s="65">
        <v>9951</v>
      </c>
      <c r="B1345" s="175">
        <v>2.3199999999999998</v>
      </c>
      <c r="C1345" s="184">
        <v>1</v>
      </c>
      <c r="D1345" s="177">
        <v>75000000</v>
      </c>
      <c r="E1345" s="26"/>
      <c r="F1345" s="184">
        <v>2.0625000000000001E-2</v>
      </c>
      <c r="G1345" s="177">
        <v>12975000000</v>
      </c>
      <c r="H1345" s="177">
        <v>3599703000</v>
      </c>
      <c r="I1345" s="175">
        <v>3.60446403494955</v>
      </c>
      <c r="J1345" s="177">
        <v>18.642241379310345</v>
      </c>
    </row>
    <row r="1346" spans="1:10">
      <c r="A1346" s="65">
        <v>8409</v>
      </c>
      <c r="B1346" s="175">
        <v>-0.39</v>
      </c>
      <c r="C1346" s="184">
        <v>1</v>
      </c>
      <c r="D1346" s="177">
        <v>28205128.205128204</v>
      </c>
      <c r="E1346" s="26"/>
      <c r="F1346" s="184">
        <v>0.43675000000000003</v>
      </c>
      <c r="G1346" s="177">
        <v>995641025.64102554</v>
      </c>
      <c r="H1346" s="177">
        <v>269848000</v>
      </c>
      <c r="I1346" s="175">
        <v>3.6896364829126975</v>
      </c>
      <c r="J1346" s="177">
        <v>0</v>
      </c>
    </row>
    <row r="1347" spans="1:10">
      <c r="A1347" s="65">
        <v>5203</v>
      </c>
      <c r="B1347" s="175">
        <v>1.25</v>
      </c>
      <c r="C1347" s="184">
        <v>0.93162393162393164</v>
      </c>
      <c r="D1347" s="177">
        <v>100800000</v>
      </c>
      <c r="E1347" s="26"/>
      <c r="F1347" s="184">
        <v>7.5933333333333339E-2</v>
      </c>
      <c r="G1347" s="177">
        <v>7267679999.999999</v>
      </c>
      <c r="H1347" s="177">
        <v>1961033000</v>
      </c>
      <c r="I1347" s="175">
        <v>3.7060467620891639</v>
      </c>
      <c r="J1347" s="177">
        <v>15.47834862385321</v>
      </c>
    </row>
    <row r="1348" spans="1:10">
      <c r="A1348" s="65">
        <v>6409</v>
      </c>
      <c r="B1348" s="175">
        <v>4.7300000000000004</v>
      </c>
      <c r="C1348" s="184">
        <v>1</v>
      </c>
      <c r="D1348" s="177">
        <v>70824524.312896401</v>
      </c>
      <c r="E1348" s="26"/>
      <c r="F1348" s="184">
        <v>1.9033333333333336E-2</v>
      </c>
      <c r="G1348" s="177">
        <v>29392177589.852005</v>
      </c>
      <c r="H1348" s="177">
        <v>7922423000</v>
      </c>
      <c r="I1348" s="175">
        <v>3.7099985181114419</v>
      </c>
      <c r="J1348" s="177">
        <v>21.934460887949257</v>
      </c>
    </row>
    <row r="1349" spans="1:10">
      <c r="A1349" s="65">
        <v>2395</v>
      </c>
      <c r="B1349" s="175">
        <v>2.1</v>
      </c>
      <c r="C1349" s="184">
        <v>0.95226824457593684</v>
      </c>
      <c r="D1349" s="177">
        <v>632380952.38095236</v>
      </c>
      <c r="E1349" s="26"/>
      <c r="F1349" s="184">
        <v>1.7316666666666668E-2</v>
      </c>
      <c r="G1349" s="177">
        <v>142285714285.71429</v>
      </c>
      <c r="H1349" s="177">
        <v>37633254000</v>
      </c>
      <c r="I1349" s="175">
        <v>3.7808506882161796</v>
      </c>
      <c r="J1349" s="177">
        <v>28.128328796307255</v>
      </c>
    </row>
    <row r="1350" spans="1:10">
      <c r="A1350" s="65">
        <v>5344</v>
      </c>
      <c r="B1350" s="175">
        <v>-0.3</v>
      </c>
      <c r="C1350" s="184">
        <v>1</v>
      </c>
      <c r="D1350" s="177">
        <v>76666666.666666672</v>
      </c>
      <c r="E1350" s="26"/>
      <c r="F1350" s="184">
        <v>8.6416666666666673E-3</v>
      </c>
      <c r="G1350" s="177">
        <v>486833333.33333331</v>
      </c>
      <c r="H1350" s="177">
        <v>127730000</v>
      </c>
      <c r="I1350" s="175">
        <v>3.8114251415746754</v>
      </c>
      <c r="J1350" s="177">
        <v>0</v>
      </c>
    </row>
    <row r="1351" spans="1:10">
      <c r="A1351" s="65">
        <v>5512</v>
      </c>
      <c r="B1351" s="175">
        <v>0.24</v>
      </c>
      <c r="C1351" s="184">
        <v>0.33193277310924368</v>
      </c>
      <c r="D1351" s="177">
        <v>745833333.33333337</v>
      </c>
      <c r="E1351" s="26"/>
      <c r="F1351" s="184">
        <v>1.0233333333333332E-2</v>
      </c>
      <c r="G1351" s="177">
        <v>7943125000.000001</v>
      </c>
      <c r="H1351" s="177">
        <v>2077842000</v>
      </c>
      <c r="I1351" s="175">
        <v>3.8227762264888288</v>
      </c>
      <c r="J1351" s="177">
        <v>33.421677215189874</v>
      </c>
    </row>
    <row r="1352" spans="1:10">
      <c r="A1352" s="65">
        <v>6136</v>
      </c>
      <c r="B1352" s="175">
        <v>0.6</v>
      </c>
      <c r="C1352" s="184">
        <v>0.15294117647058825</v>
      </c>
      <c r="D1352" s="177">
        <v>115000000</v>
      </c>
      <c r="E1352" s="26"/>
      <c r="F1352" s="184">
        <v>2.8816666666666661E-2</v>
      </c>
      <c r="G1352" s="177">
        <v>2834750000</v>
      </c>
      <c r="H1352" s="177">
        <v>737383000</v>
      </c>
      <c r="I1352" s="175">
        <v>3.8443386950878988</v>
      </c>
      <c r="J1352" s="177">
        <v>50</v>
      </c>
    </row>
    <row r="1353" spans="1:10">
      <c r="A1353" s="65">
        <v>8083</v>
      </c>
      <c r="B1353" s="175">
        <v>2.4500000000000002</v>
      </c>
      <c r="C1353" s="184">
        <v>1</v>
      </c>
      <c r="D1353" s="177">
        <v>35102040.816326529</v>
      </c>
      <c r="E1353" s="26"/>
      <c r="F1353" s="184">
        <v>3.7916666666666606E-3</v>
      </c>
      <c r="G1353" s="177">
        <v>4931836734.6938772</v>
      </c>
      <c r="H1353" s="177">
        <v>1273007000</v>
      </c>
      <c r="I1353" s="175">
        <v>3.8741630915571377</v>
      </c>
      <c r="J1353" s="177">
        <v>14.336734693877551</v>
      </c>
    </row>
    <row r="1354" spans="1:10">
      <c r="A1354" s="65">
        <v>2606</v>
      </c>
      <c r="B1354" s="175">
        <v>0.14000000000000001</v>
      </c>
      <c r="C1354" s="184">
        <v>0</v>
      </c>
      <c r="D1354" s="177">
        <v>842857142.85714281</v>
      </c>
      <c r="E1354" s="26"/>
      <c r="F1354" s="184">
        <v>7.7250000000000001E-3</v>
      </c>
      <c r="G1354" s="177">
        <v>32028571428.571426</v>
      </c>
      <c r="H1354" s="177">
        <v>8234301000</v>
      </c>
      <c r="I1354" s="175">
        <v>3.8896527378063332</v>
      </c>
      <c r="J1354" s="177">
        <v>0</v>
      </c>
    </row>
    <row r="1355" spans="1:10">
      <c r="A1355" s="65">
        <v>8114</v>
      </c>
      <c r="B1355" s="175">
        <v>2.3199999999999998</v>
      </c>
      <c r="C1355" s="184">
        <v>1</v>
      </c>
      <c r="D1355" s="177">
        <v>67672413.793103456</v>
      </c>
      <c r="E1355" s="26"/>
      <c r="F1355" s="184">
        <v>3.2616666666666662E-2</v>
      </c>
      <c r="G1355" s="177">
        <v>11470474137.931036</v>
      </c>
      <c r="H1355" s="177">
        <v>2939638000</v>
      </c>
      <c r="I1355" s="175">
        <v>3.9020022662419782</v>
      </c>
      <c r="J1355" s="177">
        <v>18.265086206896552</v>
      </c>
    </row>
    <row r="1356" spans="1:10">
      <c r="A1356" s="65">
        <v>1795</v>
      </c>
      <c r="B1356" s="175">
        <v>0.37</v>
      </c>
      <c r="C1356" s="184">
        <v>1</v>
      </c>
      <c r="D1356" s="177">
        <v>240540540.54054055</v>
      </c>
      <c r="E1356" s="26"/>
      <c r="F1356" s="184">
        <v>9.2541666666666675E-2</v>
      </c>
      <c r="G1356" s="177">
        <v>18401351351.351353</v>
      </c>
      <c r="H1356" s="177">
        <v>4713221000</v>
      </c>
      <c r="I1356" s="175">
        <v>3.904198710680308</v>
      </c>
      <c r="J1356" s="177">
        <v>50</v>
      </c>
    </row>
    <row r="1357" spans="1:10">
      <c r="A1357" s="65">
        <v>2466</v>
      </c>
      <c r="B1357" s="175">
        <v>-0.17</v>
      </c>
      <c r="C1357" s="184">
        <v>0.83018867924528306</v>
      </c>
      <c r="D1357" s="177">
        <v>141176470.58823529</v>
      </c>
      <c r="E1357" s="26"/>
      <c r="F1357" s="184">
        <v>2.8258333333333319E-2</v>
      </c>
      <c r="G1357" s="177">
        <v>4898823529.4117651</v>
      </c>
      <c r="H1357" s="177">
        <v>1252996000</v>
      </c>
      <c r="I1357" s="175">
        <v>3.909688083131762</v>
      </c>
      <c r="J1357" s="177">
        <v>0</v>
      </c>
    </row>
    <row r="1358" spans="1:10">
      <c r="A1358" s="65">
        <v>9945</v>
      </c>
      <c r="B1358" s="175">
        <v>1.34</v>
      </c>
      <c r="C1358" s="184">
        <v>0</v>
      </c>
      <c r="D1358" s="177">
        <v>1153731343.283582</v>
      </c>
      <c r="E1358" s="26"/>
      <c r="F1358" s="184">
        <v>0.19630833333333339</v>
      </c>
      <c r="G1358" s="177">
        <v>46668432835.820892</v>
      </c>
      <c r="H1358" s="177">
        <v>11757347000</v>
      </c>
      <c r="I1358" s="175">
        <v>3.9692996077959504</v>
      </c>
      <c r="J1358" s="177">
        <v>0</v>
      </c>
    </row>
    <row r="1359" spans="1:10">
      <c r="A1359" s="65">
        <v>3259</v>
      </c>
      <c r="B1359" s="175">
        <v>-0.83</v>
      </c>
      <c r="C1359" s="184">
        <v>1</v>
      </c>
      <c r="D1359" s="177">
        <v>71084337.3493976</v>
      </c>
      <c r="E1359" s="26"/>
      <c r="F1359" s="184">
        <v>5.8333333333335006E-5</v>
      </c>
      <c r="G1359" s="177">
        <v>2036566265.0602412</v>
      </c>
      <c r="H1359" s="177">
        <v>508977000</v>
      </c>
      <c r="I1359" s="175">
        <v>4.0012933100321648</v>
      </c>
      <c r="J1359" s="177">
        <v>0</v>
      </c>
    </row>
    <row r="1360" spans="1:10">
      <c r="A1360" s="65">
        <v>5531</v>
      </c>
      <c r="B1360" s="175">
        <v>-0.18</v>
      </c>
      <c r="C1360" s="184">
        <v>0.53667953667953672</v>
      </c>
      <c r="D1360" s="177">
        <v>888888888.88888896</v>
      </c>
      <c r="E1360" s="26"/>
      <c r="F1360" s="184">
        <v>0.33938333333333331</v>
      </c>
      <c r="G1360" s="177">
        <v>10800000000.000002</v>
      </c>
      <c r="H1360" s="177">
        <v>2686815000</v>
      </c>
      <c r="I1360" s="175">
        <v>4.0196291892072962</v>
      </c>
      <c r="J1360" s="177">
        <v>0</v>
      </c>
    </row>
    <row r="1361" spans="1:11">
      <c r="A1361" s="65">
        <v>2707</v>
      </c>
      <c r="B1361" s="175">
        <v>2.46</v>
      </c>
      <c r="C1361" s="184">
        <v>1</v>
      </c>
      <c r="D1361" s="177">
        <v>116666666.66666667</v>
      </c>
      <c r="E1361" s="26"/>
      <c r="F1361" s="184">
        <v>-3.4166666666666685E-3</v>
      </c>
      <c r="G1361" s="177">
        <v>26833333333.333336</v>
      </c>
      <c r="H1361" s="177">
        <v>6670966000</v>
      </c>
      <c r="I1361" s="175">
        <v>4.022405950402586</v>
      </c>
      <c r="J1361" s="177">
        <v>23.373983739837399</v>
      </c>
    </row>
    <row r="1362" spans="1:11">
      <c r="A1362" s="65">
        <v>8446</v>
      </c>
      <c r="B1362" s="175">
        <v>1.05</v>
      </c>
      <c r="C1362" s="184">
        <v>0.87951807228915657</v>
      </c>
      <c r="D1362" s="177">
        <v>41904761.904761903</v>
      </c>
      <c r="E1362" s="26"/>
      <c r="F1362" s="184">
        <v>0.13115000000000002</v>
      </c>
      <c r="G1362" s="177">
        <v>4027047619.0476189</v>
      </c>
      <c r="H1362" s="177">
        <v>1001069000</v>
      </c>
      <c r="I1362" s="175">
        <v>4.0227473021815872</v>
      </c>
      <c r="J1362" s="177">
        <v>26.015329419439006</v>
      </c>
    </row>
    <row r="1363" spans="1:11">
      <c r="A1363" s="65">
        <v>6130</v>
      </c>
      <c r="B1363" s="175">
        <v>-0.02</v>
      </c>
      <c r="C1363" s="184">
        <v>0</v>
      </c>
      <c r="D1363" s="177">
        <v>26700000</v>
      </c>
      <c r="E1363" s="26"/>
      <c r="F1363" s="184">
        <v>-1.5491666666666673E-2</v>
      </c>
      <c r="G1363" s="177">
        <v>1025280000</v>
      </c>
      <c r="H1363" s="177">
        <v>254079000</v>
      </c>
      <c r="I1363" s="175">
        <v>4.0352803655555949</v>
      </c>
      <c r="J1363" s="177">
        <v>0</v>
      </c>
    </row>
    <row r="1364" spans="1:11">
      <c r="A1364" s="65">
        <v>6165</v>
      </c>
      <c r="B1364" s="175">
        <v>-0.16</v>
      </c>
      <c r="C1364" s="184">
        <v>1</v>
      </c>
      <c r="D1364" s="177">
        <v>93750000</v>
      </c>
      <c r="E1364" s="26"/>
      <c r="F1364" s="184">
        <v>-5.1091666666666667E-2</v>
      </c>
      <c r="G1364" s="177">
        <v>1106250000</v>
      </c>
      <c r="H1364" s="177">
        <v>270208000</v>
      </c>
      <c r="I1364" s="175">
        <v>4.0940682733301754</v>
      </c>
      <c r="J1364" s="177">
        <v>0</v>
      </c>
    </row>
    <row r="1365" spans="1:11">
      <c r="A1365" s="65">
        <v>1805</v>
      </c>
      <c r="B1365" s="175">
        <v>-0.27</v>
      </c>
      <c r="C1365" s="184">
        <v>1</v>
      </c>
      <c r="D1365" s="177">
        <v>81481481.481481478</v>
      </c>
      <c r="E1365" s="26"/>
      <c r="F1365" s="184">
        <v>9.8266666666666669E-2</v>
      </c>
      <c r="G1365" s="177">
        <v>615999999.99999988</v>
      </c>
      <c r="H1365" s="177">
        <v>150024000</v>
      </c>
      <c r="I1365" s="175">
        <v>4.1060097051138476</v>
      </c>
      <c r="J1365" s="177">
        <v>0</v>
      </c>
    </row>
    <row r="1366" spans="1:11">
      <c r="A1366" s="65">
        <v>6279</v>
      </c>
      <c r="B1366" s="175">
        <v>2.16</v>
      </c>
      <c r="C1366" s="184">
        <v>1</v>
      </c>
      <c r="D1366" s="177">
        <v>97222222.222222209</v>
      </c>
      <c r="E1366" s="26"/>
      <c r="F1366" s="184">
        <v>2.1574999999999997E-2</v>
      </c>
      <c r="G1366" s="177">
        <v>13854166666.666664</v>
      </c>
      <c r="H1366" s="177">
        <v>3362073000</v>
      </c>
      <c r="I1366" s="175">
        <v>4.1207215508606341</v>
      </c>
      <c r="J1366" s="177">
        <v>16.493055555555554</v>
      </c>
    </row>
    <row r="1367" spans="1:11">
      <c r="A1367" s="65">
        <v>2455</v>
      </c>
      <c r="B1367" s="175">
        <v>0.69</v>
      </c>
      <c r="C1367" s="184">
        <v>0.97687861271676302</v>
      </c>
      <c r="D1367" s="177">
        <v>247826086.95652175</v>
      </c>
      <c r="E1367" s="26"/>
      <c r="F1367" s="184">
        <v>8.3333333333333523E-4</v>
      </c>
      <c r="G1367" s="177">
        <v>9504130434.7826099</v>
      </c>
      <c r="H1367" s="177">
        <v>2305514000</v>
      </c>
      <c r="I1367" s="175">
        <v>4.1223477431855153</v>
      </c>
      <c r="J1367" s="177">
        <v>14.223801560758083</v>
      </c>
    </row>
    <row r="1368" spans="1:11">
      <c r="A1368" s="65">
        <v>4133</v>
      </c>
      <c r="B1368" s="175">
        <v>0.43</v>
      </c>
      <c r="C1368" s="184">
        <v>1</v>
      </c>
      <c r="D1368" s="177">
        <v>58139534.883720934</v>
      </c>
      <c r="E1368" s="26"/>
      <c r="F1368" s="184">
        <v>3.7749999999999984E-3</v>
      </c>
      <c r="G1368" s="177">
        <v>1854651162.7906978</v>
      </c>
      <c r="H1368" s="177">
        <v>449482000</v>
      </c>
      <c r="I1368" s="175">
        <v>4.126196739337054</v>
      </c>
      <c r="J1368" s="177">
        <v>18.546511627906977</v>
      </c>
    </row>
    <row r="1369" spans="1:11">
      <c r="A1369" s="65">
        <v>8109</v>
      </c>
      <c r="B1369" s="175">
        <v>1.01</v>
      </c>
      <c r="C1369" s="184">
        <v>1</v>
      </c>
      <c r="D1369" s="177">
        <v>59405940.594059408</v>
      </c>
      <c r="E1369" s="26"/>
      <c r="F1369" s="184">
        <v>5.2666666666666652E-3</v>
      </c>
      <c r="G1369" s="177">
        <v>3790099009.90099</v>
      </c>
      <c r="H1369" s="177">
        <v>908685000</v>
      </c>
      <c r="I1369" s="175">
        <v>4.1709712495540145</v>
      </c>
      <c r="J1369" s="177">
        <v>15.792079207920791</v>
      </c>
    </row>
    <row r="1370" spans="1:11">
      <c r="A1370" s="65">
        <v>2330</v>
      </c>
      <c r="B1370" s="175">
        <v>3.06</v>
      </c>
      <c r="C1370" s="184">
        <v>0.85672440785818893</v>
      </c>
      <c r="D1370" s="177">
        <v>25953594771.241829</v>
      </c>
      <c r="E1370" s="26"/>
      <c r="F1370" s="184">
        <v>2.5500000000000037E-3</v>
      </c>
      <c r="G1370" s="177">
        <v>3633503267973.856</v>
      </c>
      <c r="H1370" s="177">
        <v>862499880000</v>
      </c>
      <c r="I1370" s="175">
        <v>4.2127579982664534</v>
      </c>
      <c r="J1370" s="177">
        <v>13.350744290485196</v>
      </c>
    </row>
    <row r="1371" spans="1:11">
      <c r="A1371" s="65">
        <v>8432</v>
      </c>
      <c r="B1371" s="175">
        <v>0.66</v>
      </c>
      <c r="C1371" s="184">
        <v>0.86486486486486491</v>
      </c>
      <c r="D1371" s="177">
        <v>37878787.878787875</v>
      </c>
      <c r="E1371" s="26"/>
      <c r="F1371" s="184">
        <v>6.5833333333333325E-3</v>
      </c>
      <c r="G1371" s="177">
        <v>2268939393.9393935</v>
      </c>
      <c r="H1371" s="177">
        <v>527713000</v>
      </c>
      <c r="I1371" s="175">
        <v>4.2995707779406489</v>
      </c>
      <c r="J1371" s="177">
        <v>26.234611742424239</v>
      </c>
      <c r="K1371" s="32"/>
    </row>
    <row r="1372" spans="1:11">
      <c r="A1372" s="65">
        <v>6222</v>
      </c>
      <c r="B1372" s="175">
        <v>-0.23</v>
      </c>
      <c r="C1372" s="184">
        <v>1</v>
      </c>
      <c r="D1372" s="177">
        <v>56521739.130434781</v>
      </c>
      <c r="E1372" s="26"/>
      <c r="F1372" s="184">
        <v>0.48206666666666659</v>
      </c>
      <c r="G1372" s="177">
        <v>438608695.65217388</v>
      </c>
      <c r="H1372" s="177">
        <v>100550000</v>
      </c>
      <c r="I1372" s="175">
        <v>4.3620954316476768</v>
      </c>
      <c r="J1372" s="177">
        <v>0</v>
      </c>
    </row>
    <row r="1373" spans="1:11">
      <c r="A1373" s="65">
        <v>6184</v>
      </c>
      <c r="B1373" s="175">
        <v>1.22</v>
      </c>
      <c r="C1373" s="184">
        <v>0.83587786259541985</v>
      </c>
      <c r="D1373" s="177">
        <v>131147540.98360656</v>
      </c>
      <c r="E1373" s="26"/>
      <c r="F1373" s="184">
        <v>7.6108333333333347E-2</v>
      </c>
      <c r="G1373" s="177">
        <v>6990163934.4262295</v>
      </c>
      <c r="H1373" s="177">
        <v>1592200000</v>
      </c>
      <c r="I1373" s="175">
        <v>4.3902549519069396</v>
      </c>
      <c r="J1373" s="177">
        <v>13.066659181076426</v>
      </c>
    </row>
    <row r="1374" spans="1:11">
      <c r="A1374" s="65">
        <v>4971</v>
      </c>
      <c r="B1374" s="175">
        <v>0.98</v>
      </c>
      <c r="C1374" s="184">
        <v>1</v>
      </c>
      <c r="D1374" s="177">
        <v>31632653.06122449</v>
      </c>
      <c r="E1374" s="26"/>
      <c r="F1374" s="184">
        <v>2.863333333333333E-2</v>
      </c>
      <c r="G1374" s="177">
        <v>3795918367.3469391</v>
      </c>
      <c r="H1374" s="177">
        <v>858267000</v>
      </c>
      <c r="I1374" s="175">
        <v>4.4227709644515505</v>
      </c>
      <c r="J1374" s="177">
        <v>30.612244897959183</v>
      </c>
    </row>
    <row r="1375" spans="1:11">
      <c r="A1375" s="65">
        <v>1799</v>
      </c>
      <c r="B1375" s="175">
        <v>-0.5</v>
      </c>
      <c r="C1375" s="184">
        <v>0.971830985915493</v>
      </c>
      <c r="D1375" s="177">
        <v>64000000</v>
      </c>
      <c r="E1375" s="26"/>
      <c r="F1375" s="184">
        <v>0.21221666666666669</v>
      </c>
      <c r="G1375" s="177">
        <v>2355200000</v>
      </c>
      <c r="H1375" s="177">
        <v>527373000</v>
      </c>
      <c r="I1375" s="175">
        <v>4.4659093279329811</v>
      </c>
      <c r="J1375" s="177">
        <v>0</v>
      </c>
    </row>
    <row r="1376" spans="1:11">
      <c r="A1376" s="65">
        <v>3611</v>
      </c>
      <c r="B1376" s="175">
        <v>4.46</v>
      </c>
      <c r="C1376" s="184">
        <v>1</v>
      </c>
      <c r="D1376" s="177">
        <v>38116591.928251125</v>
      </c>
      <c r="E1376" s="26"/>
      <c r="F1376" s="184">
        <v>2.6216666666666666E-2</v>
      </c>
      <c r="G1376" s="177">
        <v>11701793721.973095</v>
      </c>
      <c r="H1376" s="177">
        <v>2614056000</v>
      </c>
      <c r="I1376" s="175">
        <v>4.4764893032027988</v>
      </c>
      <c r="J1376" s="177">
        <v>17.208520179372197</v>
      </c>
    </row>
    <row r="1377" spans="1:10">
      <c r="A1377" s="65">
        <v>4123</v>
      </c>
      <c r="B1377" s="175">
        <v>-0.51</v>
      </c>
      <c r="C1377" s="184">
        <v>2.2099447513812154E-2</v>
      </c>
      <c r="D1377" s="177">
        <v>207843137.25490195</v>
      </c>
      <c r="E1377" s="26"/>
      <c r="F1377" s="184">
        <v>0.92259999999999998</v>
      </c>
      <c r="G1377" s="177">
        <v>14673725490.196075</v>
      </c>
      <c r="H1377" s="177">
        <v>3255509000</v>
      </c>
      <c r="I1377" s="175">
        <v>4.5073521499083782</v>
      </c>
      <c r="J1377" s="177">
        <v>0</v>
      </c>
    </row>
    <row r="1378" spans="1:10">
      <c r="A1378" s="65">
        <v>2712</v>
      </c>
      <c r="B1378" s="175">
        <v>0.16</v>
      </c>
      <c r="C1378" s="184">
        <v>0.96666666666666667</v>
      </c>
      <c r="D1378" s="177">
        <v>106250000</v>
      </c>
      <c r="E1378" s="26"/>
      <c r="F1378" s="184">
        <v>5.6483333333333302E-2</v>
      </c>
      <c r="G1378" s="177">
        <v>2571250000</v>
      </c>
      <c r="H1378" s="177">
        <v>569336000</v>
      </c>
      <c r="I1378" s="175">
        <v>4.5162259193165371</v>
      </c>
      <c r="J1378" s="177">
        <v>39.116379310344826</v>
      </c>
    </row>
    <row r="1379" spans="1:10">
      <c r="A1379" s="65">
        <v>8097</v>
      </c>
      <c r="B1379" s="175">
        <v>-0.4</v>
      </c>
      <c r="C1379" s="184">
        <v>1</v>
      </c>
      <c r="D1379" s="177">
        <v>22500000</v>
      </c>
      <c r="E1379" s="26"/>
      <c r="F1379" s="184">
        <v>1.1386499999999999</v>
      </c>
      <c r="G1379" s="177">
        <v>294750000</v>
      </c>
      <c r="H1379" s="177">
        <v>65059000</v>
      </c>
      <c r="I1379" s="175">
        <v>4.5305030818180425</v>
      </c>
      <c r="J1379" s="177">
        <v>0</v>
      </c>
    </row>
    <row r="1380" spans="1:10">
      <c r="A1380" s="65">
        <v>2537</v>
      </c>
      <c r="B1380" s="175">
        <v>0.08</v>
      </c>
      <c r="C1380" s="184">
        <v>1</v>
      </c>
      <c r="D1380" s="177">
        <v>250000000</v>
      </c>
      <c r="E1380" s="26"/>
      <c r="F1380" s="184">
        <v>0.91239999999999988</v>
      </c>
      <c r="G1380" s="177">
        <v>2142500000</v>
      </c>
      <c r="H1380" s="177">
        <v>472213000</v>
      </c>
      <c r="I1380" s="175">
        <v>4.5371474313498359</v>
      </c>
      <c r="J1380" s="177">
        <v>26.78125</v>
      </c>
    </row>
    <row r="1381" spans="1:10">
      <c r="A1381" s="65">
        <v>1723</v>
      </c>
      <c r="B1381" s="175">
        <v>1.53</v>
      </c>
      <c r="C1381" s="184">
        <v>0.83892617449664431</v>
      </c>
      <c r="D1381" s="177">
        <v>230718954.248366</v>
      </c>
      <c r="E1381" s="26"/>
      <c r="F1381" s="184">
        <v>-2.8175000000000002E-2</v>
      </c>
      <c r="G1381" s="177">
        <v>28378431372.549019</v>
      </c>
      <c r="H1381" s="177">
        <v>6137385000</v>
      </c>
      <c r="I1381" s="175">
        <v>4.6238636442962306</v>
      </c>
      <c r="J1381" s="177">
        <v>23.956862745098039</v>
      </c>
    </row>
    <row r="1382" spans="1:10">
      <c r="A1382" s="65">
        <v>3089</v>
      </c>
      <c r="B1382" s="175">
        <v>-1.1599999999999999</v>
      </c>
      <c r="C1382" s="184">
        <v>0.76237623762376239</v>
      </c>
      <c r="D1382" s="177">
        <v>69827586.206896558</v>
      </c>
      <c r="E1382" s="26"/>
      <c r="F1382" s="184">
        <v>7.2466666666666693E-2</v>
      </c>
      <c r="G1382" s="177">
        <v>1620000000</v>
      </c>
      <c r="H1382" s="177">
        <v>348641000</v>
      </c>
      <c r="I1382" s="175">
        <v>4.6466135652433307</v>
      </c>
      <c r="J1382" s="177">
        <v>0</v>
      </c>
    </row>
    <row r="1383" spans="1:10">
      <c r="A1383" s="65">
        <v>5302</v>
      </c>
      <c r="B1383" s="175">
        <v>-0.04</v>
      </c>
      <c r="C1383" s="184">
        <v>1</v>
      </c>
      <c r="D1383" s="177">
        <v>175000000</v>
      </c>
      <c r="E1383" s="26"/>
      <c r="F1383" s="184">
        <v>0.34401666666666664</v>
      </c>
      <c r="G1383" s="177">
        <v>994000000</v>
      </c>
      <c r="H1383" s="177">
        <v>213596000</v>
      </c>
      <c r="I1383" s="175">
        <v>4.6536451993483023</v>
      </c>
      <c r="J1383" s="177">
        <v>0</v>
      </c>
    </row>
    <row r="1384" spans="1:10">
      <c r="A1384" s="65">
        <v>2235</v>
      </c>
      <c r="B1384" s="175">
        <v>1.43</v>
      </c>
      <c r="C1384" s="184">
        <v>0.96666666666666667</v>
      </c>
      <c r="D1384" s="177">
        <v>31468531.468531471</v>
      </c>
      <c r="E1384" s="26"/>
      <c r="F1384" s="184">
        <v>2.0058333333333334E-2</v>
      </c>
      <c r="G1384" s="177">
        <v>4075174825.1748257</v>
      </c>
      <c r="H1384" s="177">
        <v>870276000</v>
      </c>
      <c r="I1384" s="175">
        <v>4.6826234725246083</v>
      </c>
      <c r="J1384" s="177">
        <v>23.420544972269113</v>
      </c>
    </row>
    <row r="1385" spans="1:10">
      <c r="A1385" s="65">
        <v>1525</v>
      </c>
      <c r="B1385" s="175">
        <v>1.24</v>
      </c>
      <c r="C1385" s="184">
        <v>0</v>
      </c>
      <c r="D1385" s="177">
        <v>69354838.709677413</v>
      </c>
      <c r="E1385" s="26"/>
      <c r="F1385" s="184">
        <v>4.4625000000000005E-2</v>
      </c>
      <c r="G1385" s="177">
        <v>5895161290.3225803</v>
      </c>
      <c r="H1385" s="177">
        <v>1256018000</v>
      </c>
      <c r="I1385" s="175">
        <v>4.6935324894408996</v>
      </c>
      <c r="J1385" s="177">
        <v>0</v>
      </c>
    </row>
    <row r="1386" spans="1:10">
      <c r="A1386" s="65">
        <v>5310</v>
      </c>
      <c r="B1386" s="175">
        <v>-0.02</v>
      </c>
      <c r="C1386" s="184">
        <v>0.5</v>
      </c>
      <c r="D1386" s="177">
        <v>50000000</v>
      </c>
      <c r="E1386" s="26"/>
      <c r="F1386" s="184">
        <v>7.9799999999999996E-2</v>
      </c>
      <c r="G1386" s="177">
        <v>1315000000</v>
      </c>
      <c r="H1386" s="177">
        <v>277924000</v>
      </c>
      <c r="I1386" s="175">
        <v>4.7315093334868523</v>
      </c>
      <c r="J1386" s="177">
        <v>0</v>
      </c>
    </row>
    <row r="1387" spans="1:10">
      <c r="A1387" s="65">
        <v>4167</v>
      </c>
      <c r="B1387" s="175">
        <v>-0.55000000000000004</v>
      </c>
      <c r="C1387" s="184">
        <v>0.92129629629629628</v>
      </c>
      <c r="D1387" s="177">
        <v>178181818.18181816</v>
      </c>
      <c r="E1387" s="26"/>
      <c r="F1387" s="184">
        <v>-5.3333333333333358E-4</v>
      </c>
      <c r="G1387" s="177">
        <v>5701818181.818181</v>
      </c>
      <c r="H1387" s="177">
        <v>1184448000</v>
      </c>
      <c r="I1387" s="175">
        <v>4.8139033387858152</v>
      </c>
      <c r="J1387" s="177">
        <v>0</v>
      </c>
    </row>
    <row r="1388" spans="1:10">
      <c r="A1388" s="65">
        <v>5306</v>
      </c>
      <c r="B1388" s="175">
        <v>1.2</v>
      </c>
      <c r="C1388" s="184">
        <v>0.98684210526315785</v>
      </c>
      <c r="D1388" s="177">
        <v>109166666.66666667</v>
      </c>
      <c r="E1388" s="26"/>
      <c r="F1388" s="184">
        <v>2.3575000000000002E-2</v>
      </c>
      <c r="G1388" s="177">
        <v>15883750000</v>
      </c>
      <c r="H1388" s="177">
        <v>3245810000</v>
      </c>
      <c r="I1388" s="175">
        <v>4.8936166935218024</v>
      </c>
      <c r="J1388" s="177">
        <v>30.716666666666669</v>
      </c>
    </row>
    <row r="1389" spans="1:10">
      <c r="A1389" s="65">
        <v>1110</v>
      </c>
      <c r="B1389" s="180">
        <v>0.04</v>
      </c>
      <c r="C1389" s="184">
        <v>1</v>
      </c>
      <c r="D1389" s="181">
        <v>625000000</v>
      </c>
      <c r="E1389" s="32"/>
      <c r="F1389" s="184">
        <v>-6.3833333333333311E-3</v>
      </c>
      <c r="G1389" s="181">
        <v>9625000000</v>
      </c>
      <c r="H1389" s="181">
        <v>1964307000</v>
      </c>
      <c r="I1389" s="180">
        <v>4.8999469023935669</v>
      </c>
      <c r="J1389" s="181">
        <v>50</v>
      </c>
    </row>
    <row r="1390" spans="1:10">
      <c r="A1390" s="65">
        <v>1476</v>
      </c>
      <c r="B1390" s="175">
        <v>3.8</v>
      </c>
      <c r="C1390" s="184">
        <v>1</v>
      </c>
      <c r="D1390" s="177">
        <v>261052631.5789474</v>
      </c>
      <c r="E1390" s="26"/>
      <c r="F1390" s="184">
        <v>3.9024999999999997E-2</v>
      </c>
      <c r="G1390" s="177">
        <v>121650526315.78949</v>
      </c>
      <c r="H1390" s="177">
        <v>24806372000</v>
      </c>
      <c r="I1390" s="175">
        <v>4.9040031454736503</v>
      </c>
      <c r="J1390" s="177">
        <v>30.657894736842106</v>
      </c>
    </row>
    <row r="1391" spans="1:10">
      <c r="A1391" s="65">
        <v>1565</v>
      </c>
      <c r="B1391" s="175">
        <v>5.7</v>
      </c>
      <c r="C1391" s="184">
        <v>1</v>
      </c>
      <c r="D1391" s="177">
        <v>50526315.789473683</v>
      </c>
      <c r="E1391" s="26"/>
      <c r="F1391" s="184">
        <v>1.9774999999999997E-2</v>
      </c>
      <c r="G1391" s="177">
        <v>28345263157.894737</v>
      </c>
      <c r="H1391" s="177">
        <v>5676382000</v>
      </c>
      <c r="I1391" s="175">
        <v>4.9935439788750537</v>
      </c>
      <c r="J1391" s="177">
        <v>24.605263157894736</v>
      </c>
    </row>
    <row r="1392" spans="1:10">
      <c r="A1392" s="65">
        <v>3228</v>
      </c>
      <c r="B1392" s="175">
        <v>-0.16</v>
      </c>
      <c r="C1392" s="184">
        <v>1</v>
      </c>
      <c r="D1392" s="177">
        <v>62500000</v>
      </c>
      <c r="E1392" s="26"/>
      <c r="F1392" s="184">
        <v>-1.2366666666666672E-2</v>
      </c>
      <c r="G1392" s="177">
        <v>1381250000</v>
      </c>
      <c r="H1392" s="177">
        <v>273771000</v>
      </c>
      <c r="I1392" s="175">
        <v>5.045275065657064</v>
      </c>
      <c r="J1392" s="177">
        <v>0</v>
      </c>
    </row>
    <row r="1393" spans="1:11">
      <c r="A1393" s="65">
        <v>2534</v>
      </c>
      <c r="B1393" s="175">
        <v>0.77</v>
      </c>
      <c r="C1393" s="184">
        <v>1</v>
      </c>
      <c r="D1393" s="177">
        <v>592207792.20779216</v>
      </c>
      <c r="E1393" s="26"/>
      <c r="F1393" s="184">
        <v>14.601491666666666</v>
      </c>
      <c r="G1393" s="177">
        <v>10304415584.415583</v>
      </c>
      <c r="H1393" s="177">
        <v>2008986000</v>
      </c>
      <c r="I1393" s="175">
        <v>5.1291624652514169</v>
      </c>
      <c r="J1393" s="177">
        <v>5.6493506493506489</v>
      </c>
    </row>
    <row r="1394" spans="1:11">
      <c r="A1394" s="65">
        <v>6146</v>
      </c>
      <c r="B1394" s="175">
        <v>2.4700000000000002</v>
      </c>
      <c r="C1394" s="184">
        <v>0.99175824175824179</v>
      </c>
      <c r="D1394" s="177">
        <v>84210526.315789461</v>
      </c>
      <c r="E1394" s="26"/>
      <c r="F1394" s="184">
        <v>-2.6666666666666657E-3</v>
      </c>
      <c r="G1394" s="177">
        <v>16294736842.105261</v>
      </c>
      <c r="H1394" s="177">
        <v>3166921000</v>
      </c>
      <c r="I1394" s="175">
        <v>5.1452931229118946</v>
      </c>
      <c r="J1394" s="177">
        <v>19.747776643825627</v>
      </c>
    </row>
    <row r="1395" spans="1:11">
      <c r="A1395" s="65">
        <v>1463</v>
      </c>
      <c r="B1395" s="175">
        <v>0.03</v>
      </c>
      <c r="C1395" s="184">
        <v>0.13793103448275862</v>
      </c>
      <c r="D1395" s="177">
        <v>200000000</v>
      </c>
      <c r="E1395" s="26"/>
      <c r="F1395" s="184">
        <v>7.5624999999999998E-2</v>
      </c>
      <c r="G1395" s="177">
        <v>3180000000</v>
      </c>
      <c r="H1395" s="177">
        <v>607523000</v>
      </c>
      <c r="I1395" s="175">
        <v>5.2343697275658698</v>
      </c>
      <c r="J1395" s="177">
        <v>50</v>
      </c>
    </row>
    <row r="1396" spans="1:11">
      <c r="A1396" s="65">
        <v>5227</v>
      </c>
      <c r="B1396" s="175">
        <v>-0.93</v>
      </c>
      <c r="C1396" s="184">
        <v>0.88172043010752688</v>
      </c>
      <c r="D1396" s="177">
        <v>164516129.03225806</v>
      </c>
      <c r="E1396" s="26"/>
      <c r="F1396" s="184">
        <v>4.0216666666666658E-2</v>
      </c>
      <c r="G1396" s="177">
        <v>5930806451.6129026</v>
      </c>
      <c r="H1396" s="177">
        <v>1127307000</v>
      </c>
      <c r="I1396" s="175">
        <v>5.2610393190256977</v>
      </c>
      <c r="J1396" s="177">
        <v>0</v>
      </c>
    </row>
    <row r="1397" spans="1:11">
      <c r="A1397" s="65">
        <v>3662</v>
      </c>
      <c r="B1397" s="175">
        <v>1.33</v>
      </c>
      <c r="C1397" s="184">
        <v>0.85326086956521741</v>
      </c>
      <c r="D1397" s="177">
        <v>118796992.481203</v>
      </c>
      <c r="E1397" s="26"/>
      <c r="F1397" s="184">
        <v>0.20588333333333333</v>
      </c>
      <c r="G1397" s="177">
        <v>10584812030.075188</v>
      </c>
      <c r="H1397" s="177">
        <v>2006534000</v>
      </c>
      <c r="I1397" s="175">
        <v>5.2751720280220455</v>
      </c>
      <c r="J1397" s="177">
        <v>19.628370288779273</v>
      </c>
    </row>
    <row r="1398" spans="1:11">
      <c r="A1398" s="65">
        <v>2390</v>
      </c>
      <c r="B1398" s="175">
        <v>0.06</v>
      </c>
      <c r="C1398" s="184">
        <v>0</v>
      </c>
      <c r="D1398" s="177">
        <v>200000000</v>
      </c>
      <c r="E1398" s="26"/>
      <c r="F1398" s="184">
        <v>-7.0916666666666706E-3</v>
      </c>
      <c r="G1398" s="177">
        <v>4600000000</v>
      </c>
      <c r="H1398" s="177">
        <v>867209000</v>
      </c>
      <c r="I1398" s="175">
        <v>5.3043729942839617</v>
      </c>
      <c r="J1398" s="177">
        <v>0</v>
      </c>
    </row>
    <row r="1399" spans="1:11">
      <c r="A1399" s="65">
        <v>1536</v>
      </c>
      <c r="B1399" s="175">
        <v>1.01</v>
      </c>
      <c r="C1399" s="184">
        <v>1</v>
      </c>
      <c r="D1399" s="177">
        <v>235643564.35643563</v>
      </c>
      <c r="E1399" s="26"/>
      <c r="F1399" s="184">
        <v>2.9516666666666667E-2</v>
      </c>
      <c r="G1399" s="177">
        <v>27099009900.990097</v>
      </c>
      <c r="H1399" s="177">
        <v>5083667000</v>
      </c>
      <c r="I1399" s="175">
        <v>5.3306028701309698</v>
      </c>
      <c r="J1399" s="177">
        <v>28.465346534653467</v>
      </c>
    </row>
    <row r="1400" spans="1:11">
      <c r="A1400" s="65">
        <v>3685</v>
      </c>
      <c r="B1400" s="175">
        <v>0.22</v>
      </c>
      <c r="C1400" s="184">
        <v>0.96875</v>
      </c>
      <c r="D1400" s="177">
        <v>77272727.272727266</v>
      </c>
      <c r="E1400" s="26"/>
      <c r="F1400" s="184">
        <v>2.1600000000000008E-2</v>
      </c>
      <c r="G1400" s="177">
        <v>3446363636.363636</v>
      </c>
      <c r="H1400" s="177">
        <v>626654000</v>
      </c>
      <c r="I1400" s="175">
        <v>5.4996276036914082</v>
      </c>
      <c r="J1400" s="177">
        <v>50</v>
      </c>
    </row>
    <row r="1401" spans="1:11">
      <c r="A1401" s="65">
        <v>8406</v>
      </c>
      <c r="B1401" s="175">
        <v>4.54</v>
      </c>
      <c r="C1401" s="184">
        <v>1</v>
      </c>
      <c r="D1401" s="177">
        <v>92511013.215859026</v>
      </c>
      <c r="E1401" s="26"/>
      <c r="F1401" s="184">
        <v>1.9499999999999993E-2</v>
      </c>
      <c r="G1401" s="177">
        <v>33396475770.92511</v>
      </c>
      <c r="H1401" s="177">
        <v>5903136000</v>
      </c>
      <c r="I1401" s="175">
        <v>5.6574125635806309</v>
      </c>
      <c r="J1401" s="177">
        <v>19.878854625550662</v>
      </c>
    </row>
    <row r="1402" spans="1:11">
      <c r="A1402" s="65">
        <v>3164</v>
      </c>
      <c r="B1402" s="175">
        <v>-0.28000000000000003</v>
      </c>
      <c r="C1402" s="184">
        <v>0.94230769230769229</v>
      </c>
      <c r="D1402" s="177">
        <v>89285714.285714284</v>
      </c>
      <c r="E1402" s="26"/>
      <c r="F1402" s="184">
        <v>5.4191666666666645E-2</v>
      </c>
      <c r="G1402" s="177">
        <v>2946428571.4285712</v>
      </c>
      <c r="H1402" s="177">
        <v>518467000</v>
      </c>
      <c r="I1402" s="175">
        <v>5.6829626021107824</v>
      </c>
      <c r="J1402" s="177">
        <v>0</v>
      </c>
    </row>
    <row r="1403" spans="1:11">
      <c r="A1403" s="65">
        <v>6237</v>
      </c>
      <c r="B1403" s="175">
        <v>-0.15</v>
      </c>
      <c r="C1403" s="184">
        <v>1</v>
      </c>
      <c r="D1403" s="177">
        <v>73333333.333333343</v>
      </c>
      <c r="E1403" s="26"/>
      <c r="F1403" s="184">
        <v>3.2575E-2</v>
      </c>
      <c r="G1403" s="177">
        <v>2082666666.6666667</v>
      </c>
      <c r="H1403" s="177">
        <v>363140000</v>
      </c>
      <c r="I1403" s="175">
        <v>5.7351618292302327</v>
      </c>
      <c r="J1403" s="177">
        <v>0</v>
      </c>
    </row>
    <row r="1404" spans="1:11">
      <c r="A1404" s="65">
        <v>8450</v>
      </c>
      <c r="B1404" s="175">
        <v>0.82</v>
      </c>
      <c r="C1404" s="184">
        <v>0.94736842105263153</v>
      </c>
      <c r="D1404" s="177">
        <v>43902439.024390243</v>
      </c>
      <c r="E1404" s="26"/>
      <c r="F1404" s="184">
        <v>1.1074999999999995E-2</v>
      </c>
      <c r="G1404" s="177">
        <v>3670243902.439024</v>
      </c>
      <c r="H1404" s="177">
        <v>632093000</v>
      </c>
      <c r="I1404" s="175">
        <v>5.806493510352154</v>
      </c>
      <c r="J1404" s="177">
        <v>26.903794037940383</v>
      </c>
    </row>
    <row r="1405" spans="1:11">
      <c r="A1405" s="65">
        <v>6236</v>
      </c>
      <c r="B1405" s="175">
        <v>-0.35</v>
      </c>
      <c r="C1405" s="184">
        <v>1</v>
      </c>
      <c r="D1405" s="177">
        <v>31428571.428571429</v>
      </c>
      <c r="E1405" s="26"/>
      <c r="F1405" s="184">
        <v>2.4833333333333329E-2</v>
      </c>
      <c r="G1405" s="177">
        <v>1032428571.4285715</v>
      </c>
      <c r="H1405" s="177">
        <v>177652000</v>
      </c>
      <c r="I1405" s="175">
        <v>5.811522366359914</v>
      </c>
      <c r="J1405" s="177">
        <v>0</v>
      </c>
      <c r="K1405" s="32"/>
    </row>
    <row r="1406" spans="1:11">
      <c r="A1406" s="65">
        <v>2722</v>
      </c>
      <c r="B1406" s="175">
        <v>0.48</v>
      </c>
      <c r="C1406" s="184">
        <v>1</v>
      </c>
      <c r="D1406" s="177">
        <v>95833333.333333343</v>
      </c>
      <c r="E1406" s="26"/>
      <c r="F1406" s="184">
        <v>4.8566666666666675E-2</v>
      </c>
      <c r="G1406" s="177">
        <v>4288541666.666667</v>
      </c>
      <c r="H1406" s="177">
        <v>725788000</v>
      </c>
      <c r="I1406" s="175">
        <v>5.9088076224278536</v>
      </c>
      <c r="J1406" s="177">
        <v>23.307291666666668</v>
      </c>
    </row>
    <row r="1407" spans="1:11">
      <c r="A1407" s="65">
        <v>4994</v>
      </c>
      <c r="B1407" s="175">
        <v>-0.51</v>
      </c>
      <c r="C1407" s="184">
        <v>1</v>
      </c>
      <c r="D1407" s="177">
        <v>88235294.117647052</v>
      </c>
      <c r="E1407" s="26"/>
      <c r="F1407" s="184">
        <v>4.000000000000001E-3</v>
      </c>
      <c r="G1407" s="177">
        <v>7764705882.3529406</v>
      </c>
      <c r="H1407" s="177">
        <v>1308583000</v>
      </c>
      <c r="I1407" s="175">
        <v>5.933674732403631</v>
      </c>
      <c r="J1407" s="177">
        <v>0</v>
      </c>
    </row>
    <row r="1408" spans="1:11">
      <c r="A1408" s="65">
        <v>5324</v>
      </c>
      <c r="B1408" s="175">
        <v>-0.57999999999999996</v>
      </c>
      <c r="C1408" s="184">
        <v>0.82203389830508478</v>
      </c>
      <c r="D1408" s="177">
        <v>75862068.965517253</v>
      </c>
      <c r="E1408" s="26"/>
      <c r="F1408" s="184">
        <v>1.6666666666667145E-5</v>
      </c>
      <c r="G1408" s="177">
        <v>849655172.41379321</v>
      </c>
      <c r="H1408" s="177">
        <v>142302000</v>
      </c>
      <c r="I1408" s="175">
        <v>5.9707886917527038</v>
      </c>
      <c r="J1408" s="177">
        <v>0</v>
      </c>
    </row>
    <row r="1409" spans="1:10">
      <c r="A1409" s="65">
        <v>5530</v>
      </c>
      <c r="B1409" s="175">
        <v>0.63</v>
      </c>
      <c r="C1409" s="184">
        <v>0.98102466793168885</v>
      </c>
      <c r="D1409" s="177">
        <v>400000000</v>
      </c>
      <c r="E1409" s="26"/>
      <c r="F1409" s="184">
        <v>-5.1624999999999997E-2</v>
      </c>
      <c r="G1409" s="177">
        <v>26520000000</v>
      </c>
      <c r="H1409" s="177">
        <v>4437337000</v>
      </c>
      <c r="I1409" s="175">
        <v>5.9765575614383133</v>
      </c>
      <c r="J1409" s="177">
        <v>26.81841208436953</v>
      </c>
    </row>
    <row r="1410" spans="1:10">
      <c r="A1410" s="65">
        <v>3073</v>
      </c>
      <c r="B1410" s="175">
        <v>-0.23</v>
      </c>
      <c r="C1410" s="184">
        <v>1</v>
      </c>
      <c r="D1410" s="177">
        <v>47826086.956521735</v>
      </c>
      <c r="E1410" s="26"/>
      <c r="F1410" s="184">
        <v>9.6641666666666667E-2</v>
      </c>
      <c r="G1410" s="177">
        <v>293652173.91304344</v>
      </c>
      <c r="H1410" s="177">
        <v>49087000</v>
      </c>
      <c r="I1410" s="175">
        <v>5.9822799094066337</v>
      </c>
      <c r="J1410" s="177">
        <v>0</v>
      </c>
    </row>
    <row r="1411" spans="1:10">
      <c r="A1411" s="65">
        <v>4137</v>
      </c>
      <c r="B1411" s="175">
        <v>2.98</v>
      </c>
      <c r="C1411" s="184">
        <v>0.94174757281553401</v>
      </c>
      <c r="D1411" s="177">
        <v>79530201.342281878</v>
      </c>
      <c r="E1411" s="26"/>
      <c r="F1411" s="184">
        <v>0.105325</v>
      </c>
      <c r="G1411" s="177">
        <v>23859060402.684563</v>
      </c>
      <c r="H1411" s="177">
        <v>3871596000</v>
      </c>
      <c r="I1411" s="175">
        <v>6.1625904156023932</v>
      </c>
      <c r="J1411" s="177">
        <v>26.724555455614752</v>
      </c>
    </row>
    <row r="1412" spans="1:10">
      <c r="A1412" s="65">
        <v>3008</v>
      </c>
      <c r="B1412" s="175">
        <v>35.96</v>
      </c>
      <c r="C1412" s="184">
        <v>1</v>
      </c>
      <c r="D1412" s="177">
        <v>134149054.50500555</v>
      </c>
      <c r="E1412" s="26"/>
      <c r="F1412" s="184">
        <v>2.5549999999999989E-2</v>
      </c>
      <c r="G1412" s="177">
        <v>364885428253.61511</v>
      </c>
      <c r="H1412" s="177">
        <v>57591938000</v>
      </c>
      <c r="I1412" s="175">
        <v>6.3357032412004459</v>
      </c>
      <c r="J1412" s="177">
        <v>18.909899888765295</v>
      </c>
    </row>
    <row r="1413" spans="1:10">
      <c r="A1413" s="65">
        <v>6131</v>
      </c>
      <c r="B1413" s="175">
        <v>-0.4</v>
      </c>
      <c r="C1413" s="184">
        <v>1</v>
      </c>
      <c r="D1413" s="177">
        <v>100000000</v>
      </c>
      <c r="E1413" s="26"/>
      <c r="F1413" s="184">
        <v>0.23823333333333332</v>
      </c>
      <c r="G1413" s="177">
        <v>2285000000</v>
      </c>
      <c r="H1413" s="177">
        <v>356183000</v>
      </c>
      <c r="I1413" s="175">
        <v>6.4152416033331177</v>
      </c>
      <c r="J1413" s="177">
        <v>0</v>
      </c>
    </row>
    <row r="1414" spans="1:10">
      <c r="A1414" s="65">
        <v>6415</v>
      </c>
      <c r="B1414" s="175">
        <v>4.01</v>
      </c>
      <c r="C1414" s="184">
        <v>0.94705882352941173</v>
      </c>
      <c r="D1414" s="177">
        <v>76558603.491271824</v>
      </c>
      <c r="E1414" s="26"/>
      <c r="F1414" s="184">
        <v>3.7666666666666661E-2</v>
      </c>
      <c r="G1414" s="177">
        <v>27675935162.094765</v>
      </c>
      <c r="H1414" s="177">
        <v>4292694000</v>
      </c>
      <c r="I1414" s="175">
        <v>6.4472182648226886</v>
      </c>
      <c r="J1414" s="177">
        <v>23.797261504623535</v>
      </c>
    </row>
    <row r="1415" spans="1:10">
      <c r="A1415" s="65">
        <v>6111</v>
      </c>
      <c r="B1415" s="175">
        <v>2.08</v>
      </c>
      <c r="C1415" s="184">
        <v>0.1984126984126984</v>
      </c>
      <c r="D1415" s="177">
        <v>45673076.92307692</v>
      </c>
      <c r="E1415" s="26"/>
      <c r="F1415" s="184">
        <v>0.1883</v>
      </c>
      <c r="G1415" s="177">
        <v>4590144230.7692308</v>
      </c>
      <c r="H1415" s="177">
        <v>706321000</v>
      </c>
      <c r="I1415" s="175">
        <v>6.4986659475921442</v>
      </c>
      <c r="J1415" s="177">
        <v>50</v>
      </c>
    </row>
    <row r="1416" spans="1:10">
      <c r="A1416" s="65">
        <v>2915</v>
      </c>
      <c r="B1416" s="175">
        <v>1.9</v>
      </c>
      <c r="C1416" s="184">
        <v>0</v>
      </c>
      <c r="D1416" s="177">
        <v>886842105.26315796</v>
      </c>
      <c r="E1416" s="26"/>
      <c r="F1416" s="184">
        <v>0.19004999999999997</v>
      </c>
      <c r="G1416" s="177">
        <v>53387894736.84211</v>
      </c>
      <c r="H1416" s="177">
        <v>8191711000</v>
      </c>
      <c r="I1416" s="175">
        <v>6.5173069138843047</v>
      </c>
      <c r="J1416" s="177">
        <v>0</v>
      </c>
    </row>
    <row r="1417" spans="1:10">
      <c r="A1417" s="65">
        <v>3205</v>
      </c>
      <c r="B1417" s="175">
        <v>1.25</v>
      </c>
      <c r="C1417" s="184">
        <v>1</v>
      </c>
      <c r="D1417" s="177">
        <v>24800000</v>
      </c>
      <c r="E1417" s="26"/>
      <c r="F1417" s="184">
        <v>0.12420000000000002</v>
      </c>
      <c r="G1417" s="177">
        <v>6621600000</v>
      </c>
      <c r="H1417" s="177">
        <v>1001686000</v>
      </c>
      <c r="I1417" s="175">
        <v>6.6104547732522967</v>
      </c>
      <c r="J1417" s="177">
        <v>50</v>
      </c>
    </row>
    <row r="1418" spans="1:10">
      <c r="A1418" s="65">
        <v>6452</v>
      </c>
      <c r="B1418" s="175">
        <v>3.5</v>
      </c>
      <c r="C1418" s="184">
        <v>0.9511627906976744</v>
      </c>
      <c r="D1418" s="177">
        <v>64285714.285714284</v>
      </c>
      <c r="E1418" s="26"/>
      <c r="F1418" s="184">
        <v>-6.2949999999999992E-2</v>
      </c>
      <c r="G1418" s="177">
        <v>23978571428.571426</v>
      </c>
      <c r="H1418" s="177">
        <v>3578258000</v>
      </c>
      <c r="I1418" s="175">
        <v>6.7011857246099709</v>
      </c>
      <c r="J1418" s="177">
        <v>28.010827803003842</v>
      </c>
    </row>
    <row r="1419" spans="1:10">
      <c r="A1419" s="65">
        <v>8422</v>
      </c>
      <c r="B1419" s="175">
        <v>2.58</v>
      </c>
      <c r="C1419" s="184">
        <v>0.98618307426597585</v>
      </c>
      <c r="D1419" s="177">
        <v>108914728.68217054</v>
      </c>
      <c r="E1419" s="26"/>
      <c r="F1419" s="184">
        <v>4.7166666666666669E-2</v>
      </c>
      <c r="G1419" s="177">
        <v>17644186046.511627</v>
      </c>
      <c r="H1419" s="177">
        <v>2591407000</v>
      </c>
      <c r="I1419" s="175">
        <v>6.8087282493686354</v>
      </c>
      <c r="J1419" s="177">
        <v>15.917606809758482</v>
      </c>
    </row>
    <row r="1420" spans="1:10">
      <c r="A1420" s="65">
        <v>5269</v>
      </c>
      <c r="B1420" s="175">
        <v>0.12</v>
      </c>
      <c r="C1420" s="184">
        <v>1</v>
      </c>
      <c r="D1420" s="177">
        <v>58333333.333333336</v>
      </c>
      <c r="E1420" s="26"/>
      <c r="F1420" s="184">
        <v>5.4675000000000001E-2</v>
      </c>
      <c r="G1420" s="177">
        <v>10208333333.333334</v>
      </c>
      <c r="H1420" s="177">
        <v>1459260000</v>
      </c>
      <c r="I1420" s="175">
        <v>6.9955548245914603</v>
      </c>
      <c r="J1420" s="177">
        <v>50</v>
      </c>
    </row>
    <row r="1421" spans="1:10">
      <c r="A1421" s="65">
        <v>4105</v>
      </c>
      <c r="B1421" s="175">
        <v>0.73</v>
      </c>
      <c r="C1421" s="184">
        <v>0.76512455516014233</v>
      </c>
      <c r="D1421" s="177">
        <v>250684931.50684932</v>
      </c>
      <c r="E1421" s="26"/>
      <c r="F1421" s="184">
        <v>4.0274999999999998E-2</v>
      </c>
      <c r="G1421" s="177">
        <v>22862465753.42466</v>
      </c>
      <c r="H1421" s="177">
        <v>3056839000</v>
      </c>
      <c r="I1421" s="175">
        <v>7.4791200169275056</v>
      </c>
      <c r="J1421" s="177">
        <v>40.820643517043649</v>
      </c>
    </row>
    <row r="1422" spans="1:10">
      <c r="A1422" s="65">
        <v>8437</v>
      </c>
      <c r="B1422" s="175">
        <v>1.26</v>
      </c>
      <c r="C1422" s="184">
        <v>0.87912087912087911</v>
      </c>
      <c r="D1422" s="177">
        <v>30952380.952380951</v>
      </c>
      <c r="E1422" s="26"/>
      <c r="F1422" s="184">
        <v>7.4516666666666662E-2</v>
      </c>
      <c r="G1422" s="177">
        <v>4426190476.1904764</v>
      </c>
      <c r="H1422" s="177">
        <v>583278000</v>
      </c>
      <c r="I1422" s="175">
        <v>7.5884749230906641</v>
      </c>
      <c r="J1422" s="177">
        <v>32.274305555555557</v>
      </c>
    </row>
    <row r="1423" spans="1:10">
      <c r="A1423" s="65">
        <v>4128</v>
      </c>
      <c r="B1423" s="175">
        <v>-0.17</v>
      </c>
      <c r="C1423" s="184">
        <v>0.98</v>
      </c>
      <c r="D1423" s="177">
        <v>435294117.64705878</v>
      </c>
      <c r="E1423" s="26"/>
      <c r="F1423" s="184">
        <v>2.0458333333333339E-2</v>
      </c>
      <c r="G1423" s="177">
        <v>11709411764.705881</v>
      </c>
      <c r="H1423" s="177">
        <v>1541331000</v>
      </c>
      <c r="I1423" s="175">
        <v>7.5969481991252241</v>
      </c>
      <c r="J1423" s="177">
        <v>0</v>
      </c>
    </row>
    <row r="1424" spans="1:10">
      <c r="A1424" s="65">
        <v>1789</v>
      </c>
      <c r="B1424" s="175">
        <v>0.19</v>
      </c>
      <c r="C1424" s="184">
        <v>0.59183673469387754</v>
      </c>
      <c r="D1424" s="177">
        <v>694736842.10526311</v>
      </c>
      <c r="E1424" s="26"/>
      <c r="F1424" s="184">
        <v>1.5341666666666663E-2</v>
      </c>
      <c r="G1424" s="177">
        <v>28935789473.684208</v>
      </c>
      <c r="H1424" s="177">
        <v>3802968000</v>
      </c>
      <c r="I1424" s="175">
        <v>7.6087386151248726</v>
      </c>
      <c r="J1424" s="177">
        <v>50</v>
      </c>
    </row>
    <row r="1425" spans="1:10">
      <c r="A1425" s="65">
        <v>2910</v>
      </c>
      <c r="B1425" s="175">
        <v>0.12</v>
      </c>
      <c r="C1425" s="184">
        <v>1</v>
      </c>
      <c r="D1425" s="177">
        <v>175000000</v>
      </c>
      <c r="E1425" s="26"/>
      <c r="F1425" s="184">
        <v>0.20170000000000002</v>
      </c>
      <c r="G1425" s="177">
        <v>5328750000</v>
      </c>
      <c r="H1425" s="177">
        <v>694685000</v>
      </c>
      <c r="I1425" s="175">
        <v>7.6707428546751402</v>
      </c>
      <c r="J1425" s="177">
        <v>50</v>
      </c>
    </row>
    <row r="1426" spans="1:10">
      <c r="A1426" s="65">
        <v>4161</v>
      </c>
      <c r="B1426" s="175">
        <v>0.1</v>
      </c>
      <c r="C1426" s="184">
        <v>1</v>
      </c>
      <c r="D1426" s="177">
        <v>50000000</v>
      </c>
      <c r="E1426" s="26"/>
      <c r="F1426" s="184">
        <v>3.1466666666666677E-2</v>
      </c>
      <c r="G1426" s="177">
        <v>3575000000</v>
      </c>
      <c r="H1426" s="177">
        <v>465091000</v>
      </c>
      <c r="I1426" s="175">
        <v>7.6866677703933206</v>
      </c>
      <c r="J1426" s="177">
        <v>50</v>
      </c>
    </row>
    <row r="1427" spans="1:10">
      <c r="A1427" s="65">
        <v>3094</v>
      </c>
      <c r="B1427" s="175">
        <v>0.33</v>
      </c>
      <c r="C1427" s="184">
        <v>0.69444444444444442</v>
      </c>
      <c r="D1427" s="177">
        <v>81818181.818181813</v>
      </c>
      <c r="E1427" s="26"/>
      <c r="F1427" s="184">
        <v>3.6583333333333336E-2</v>
      </c>
      <c r="G1427" s="177">
        <v>2487272727.272727</v>
      </c>
      <c r="H1427" s="177">
        <v>321929000</v>
      </c>
      <c r="I1427" s="175">
        <v>7.7261530563345548</v>
      </c>
      <c r="J1427" s="177">
        <v>33.163636363636364</v>
      </c>
    </row>
    <row r="1428" spans="1:10">
      <c r="A1428" s="65">
        <v>1783</v>
      </c>
      <c r="B1428" s="175">
        <v>-0.22</v>
      </c>
      <c r="C1428" s="184">
        <v>1</v>
      </c>
      <c r="D1428" s="177">
        <v>72727272.727272734</v>
      </c>
      <c r="E1428" s="26"/>
      <c r="F1428" s="184">
        <v>5.3725000000000002E-2</v>
      </c>
      <c r="G1428" s="177">
        <v>1941818181.818182</v>
      </c>
      <c r="H1428" s="177">
        <v>251129000</v>
      </c>
      <c r="I1428" s="175">
        <v>7.7323534192314787</v>
      </c>
      <c r="J1428" s="177">
        <v>0</v>
      </c>
    </row>
    <row r="1429" spans="1:10">
      <c r="A1429" s="65">
        <v>9902</v>
      </c>
      <c r="B1429" s="175">
        <v>0.02</v>
      </c>
      <c r="C1429" s="184">
        <v>1</v>
      </c>
      <c r="D1429" s="177">
        <v>100000000</v>
      </c>
      <c r="E1429" s="26"/>
      <c r="F1429" s="184">
        <v>9.1058333333333352E-2</v>
      </c>
      <c r="G1429" s="177">
        <v>1080000000</v>
      </c>
      <c r="H1429" s="177">
        <v>138362000</v>
      </c>
      <c r="I1429" s="175">
        <v>7.8056113672829248</v>
      </c>
      <c r="J1429" s="177">
        <v>50</v>
      </c>
    </row>
    <row r="1430" spans="1:10">
      <c r="A1430" s="65">
        <v>6194</v>
      </c>
      <c r="B1430" s="175">
        <v>-0.16</v>
      </c>
      <c r="C1430" s="184">
        <v>1</v>
      </c>
      <c r="D1430" s="177">
        <v>100000000</v>
      </c>
      <c r="E1430" s="26"/>
      <c r="F1430" s="184">
        <v>6.6124999999999989E-2</v>
      </c>
      <c r="G1430" s="177">
        <v>2030000000</v>
      </c>
      <c r="H1430" s="177">
        <v>258391000</v>
      </c>
      <c r="I1430" s="175">
        <v>7.8563107848183567</v>
      </c>
      <c r="J1430" s="177">
        <v>0</v>
      </c>
    </row>
    <row r="1431" spans="1:10">
      <c r="A1431" s="65">
        <v>8076</v>
      </c>
      <c r="B1431" s="175">
        <v>0.19</v>
      </c>
      <c r="C1431" s="184">
        <v>0.67500000000000004</v>
      </c>
      <c r="D1431" s="177">
        <v>221052631.57894737</v>
      </c>
      <c r="E1431" s="26"/>
      <c r="F1431" s="184">
        <v>1.8324999999999994E-2</v>
      </c>
      <c r="G1431" s="177">
        <v>22547368421.052631</v>
      </c>
      <c r="H1431" s="177">
        <v>2779634000</v>
      </c>
      <c r="I1431" s="175">
        <v>8.1116321145347303</v>
      </c>
      <c r="J1431" s="177">
        <v>50</v>
      </c>
    </row>
    <row r="1432" spans="1:10">
      <c r="A1432" s="65">
        <v>4426</v>
      </c>
      <c r="B1432" s="175">
        <v>1.85</v>
      </c>
      <c r="C1432" s="184">
        <v>1</v>
      </c>
      <c r="D1432" s="177">
        <v>76756756.756756753</v>
      </c>
      <c r="E1432" s="26"/>
      <c r="F1432" s="184">
        <v>6.6775000000000001E-2</v>
      </c>
      <c r="G1432" s="177">
        <v>16541081081.081079</v>
      </c>
      <c r="H1432" s="177">
        <v>2014866000</v>
      </c>
      <c r="I1432" s="175">
        <v>8.2095191844425788</v>
      </c>
      <c r="J1432" s="177">
        <v>29.121621621621621</v>
      </c>
    </row>
    <row r="1433" spans="1:10">
      <c r="A1433" s="65">
        <v>4198</v>
      </c>
      <c r="B1433" s="175">
        <v>-0.89</v>
      </c>
      <c r="C1433" s="184">
        <v>0.97204968944099379</v>
      </c>
      <c r="D1433" s="177">
        <v>147191011.23595506</v>
      </c>
      <c r="E1433" s="26"/>
      <c r="F1433" s="184">
        <v>0.33363333333333339</v>
      </c>
      <c r="G1433" s="177">
        <v>5571179775.280899</v>
      </c>
      <c r="H1433" s="177">
        <v>678031000</v>
      </c>
      <c r="I1433" s="175">
        <v>8.2167036245848628</v>
      </c>
      <c r="J1433" s="177">
        <v>0</v>
      </c>
    </row>
    <row r="1434" spans="1:10">
      <c r="A1434" s="65">
        <v>3520</v>
      </c>
      <c r="B1434" s="175">
        <v>-0.37</v>
      </c>
      <c r="C1434" s="184">
        <v>0.82926829268292679</v>
      </c>
      <c r="D1434" s="177">
        <v>54054054.054054052</v>
      </c>
      <c r="E1434" s="26"/>
      <c r="F1434" s="184">
        <v>1.9375000000000007E-2</v>
      </c>
      <c r="G1434" s="177">
        <v>4751351351.3513517</v>
      </c>
      <c r="H1434" s="177">
        <v>574925000</v>
      </c>
      <c r="I1434" s="175">
        <v>8.264297693353658</v>
      </c>
      <c r="J1434" s="177">
        <v>0</v>
      </c>
    </row>
    <row r="1435" spans="1:10">
      <c r="A1435" s="65">
        <v>8341</v>
      </c>
      <c r="B1435" s="175">
        <v>1.17</v>
      </c>
      <c r="C1435" s="184">
        <v>1</v>
      </c>
      <c r="D1435" s="177">
        <v>111965811.96581197</v>
      </c>
      <c r="E1435" s="26"/>
      <c r="F1435" s="184">
        <v>6.4583333333333326E-2</v>
      </c>
      <c r="G1435" s="177">
        <v>13267948717.948719</v>
      </c>
      <c r="H1435" s="177">
        <v>1578718000</v>
      </c>
      <c r="I1435" s="175">
        <v>8.4042550461505598</v>
      </c>
      <c r="J1435" s="177">
        <v>25.320512820512821</v>
      </c>
    </row>
    <row r="1436" spans="1:10">
      <c r="A1436" s="65">
        <v>3152</v>
      </c>
      <c r="B1436" s="175">
        <v>2.5</v>
      </c>
      <c r="C1436" s="184">
        <v>1</v>
      </c>
      <c r="D1436" s="177">
        <v>68800000</v>
      </c>
      <c r="E1436" s="26"/>
      <c r="F1436" s="184">
        <v>3.6833333333333329E-2</v>
      </c>
      <c r="G1436" s="177">
        <v>14344800000</v>
      </c>
      <c r="H1436" s="177">
        <v>1653745000</v>
      </c>
      <c r="I1436" s="175">
        <v>8.6741305340303381</v>
      </c>
      <c r="J1436" s="177">
        <v>20.85</v>
      </c>
    </row>
    <row r="1437" spans="1:10">
      <c r="A1437" s="65">
        <v>2913</v>
      </c>
      <c r="B1437" s="175">
        <v>0.27</v>
      </c>
      <c r="C1437" s="184">
        <v>0.13875598086124402</v>
      </c>
      <c r="D1437" s="177">
        <v>737037037.03703701</v>
      </c>
      <c r="E1437" s="26"/>
      <c r="F1437" s="184">
        <v>-5.1558333333333338E-2</v>
      </c>
      <c r="G1437" s="177">
        <v>10576481481.481482</v>
      </c>
      <c r="H1437" s="177">
        <v>1191382000</v>
      </c>
      <c r="I1437" s="175">
        <v>8.8774897400510344</v>
      </c>
      <c r="J1437" s="177">
        <v>50</v>
      </c>
    </row>
    <row r="1438" spans="1:10">
      <c r="A1438" s="65">
        <v>2059</v>
      </c>
      <c r="B1438" s="175">
        <v>3.16</v>
      </c>
      <c r="C1438" s="184">
        <v>1</v>
      </c>
      <c r="D1438" s="177">
        <v>95253164.556962028</v>
      </c>
      <c r="E1438" s="26"/>
      <c r="F1438" s="184">
        <v>4.1249999999999967E-3</v>
      </c>
      <c r="G1438" s="177">
        <v>41435126582.278481</v>
      </c>
      <c r="H1438" s="177">
        <v>4538893000</v>
      </c>
      <c r="I1438" s="175">
        <v>9.1289057887635767</v>
      </c>
      <c r="J1438" s="177">
        <v>34.414556962025316</v>
      </c>
    </row>
    <row r="1439" spans="1:10">
      <c r="A1439" s="65">
        <v>4107</v>
      </c>
      <c r="B1439" s="175">
        <v>0.9</v>
      </c>
      <c r="C1439" s="184">
        <v>1</v>
      </c>
      <c r="D1439" s="177">
        <v>85555555.555555552</v>
      </c>
      <c r="E1439" s="26"/>
      <c r="F1439" s="184">
        <v>1.7333333333333339E-3</v>
      </c>
      <c r="G1439" s="177">
        <v>11207777777.777777</v>
      </c>
      <c r="H1439" s="177">
        <v>1221482000</v>
      </c>
      <c r="I1439" s="175">
        <v>9.1755570510067095</v>
      </c>
      <c r="J1439" s="177">
        <v>36.388888888888886</v>
      </c>
    </row>
    <row r="1440" spans="1:10">
      <c r="A1440" s="65">
        <v>8926</v>
      </c>
      <c r="B1440" s="175">
        <v>0.56000000000000005</v>
      </c>
      <c r="C1440" s="184">
        <v>0</v>
      </c>
      <c r="D1440" s="177">
        <v>589285714.28571427</v>
      </c>
      <c r="E1440" s="26"/>
      <c r="F1440" s="184">
        <v>4.9858333333333338E-2</v>
      </c>
      <c r="G1440" s="177">
        <v>13553571428.571428</v>
      </c>
      <c r="H1440" s="177">
        <v>1460575000</v>
      </c>
      <c r="I1440" s="175">
        <v>9.2796134594741311</v>
      </c>
      <c r="J1440" s="177">
        <v>0</v>
      </c>
    </row>
    <row r="1441" spans="1:11">
      <c r="A1441" s="65">
        <v>1432</v>
      </c>
      <c r="B1441" s="175">
        <v>0.28000000000000003</v>
      </c>
      <c r="C1441" s="184">
        <v>0.87096774193548387</v>
      </c>
      <c r="D1441" s="177">
        <v>164285714.28571427</v>
      </c>
      <c r="E1441" s="26"/>
      <c r="F1441" s="184">
        <v>0.39598333333333335</v>
      </c>
      <c r="G1441" s="177">
        <v>3384285714.2857141</v>
      </c>
      <c r="H1441" s="177">
        <v>358747000</v>
      </c>
      <c r="I1441" s="175">
        <v>9.4336279168486818</v>
      </c>
      <c r="J1441" s="177">
        <v>21.117724867724867</v>
      </c>
      <c r="K1441" s="32"/>
    </row>
    <row r="1442" spans="1:11">
      <c r="A1442" s="65">
        <v>5287</v>
      </c>
      <c r="B1442" s="175">
        <v>3.52</v>
      </c>
      <c r="C1442" s="184">
        <v>0.93886462882096067</v>
      </c>
      <c r="D1442" s="177">
        <v>40909090.909090906</v>
      </c>
      <c r="E1442" s="26"/>
      <c r="F1442" s="184">
        <v>2.07E-2</v>
      </c>
      <c r="G1442" s="177">
        <v>12886363636.363636</v>
      </c>
      <c r="H1442" s="177">
        <v>1358485000</v>
      </c>
      <c r="I1442" s="175">
        <v>9.4858343201166271</v>
      </c>
      <c r="J1442" s="177">
        <v>23.828950845665961</v>
      </c>
    </row>
    <row r="1443" spans="1:11">
      <c r="A1443" s="65">
        <v>4171</v>
      </c>
      <c r="B1443" s="175">
        <v>-0.2</v>
      </c>
      <c r="C1443" s="184">
        <v>0.7142857142857143</v>
      </c>
      <c r="D1443" s="177">
        <v>35000000</v>
      </c>
      <c r="E1443" s="26"/>
      <c r="F1443" s="184">
        <v>9.5966666666666658E-2</v>
      </c>
      <c r="G1443" s="177">
        <v>1422750000</v>
      </c>
      <c r="H1443" s="177">
        <v>145291000</v>
      </c>
      <c r="I1443" s="175">
        <v>9.7924165984128404</v>
      </c>
      <c r="J1443" s="177">
        <v>0</v>
      </c>
    </row>
    <row r="1444" spans="1:11">
      <c r="A1444" s="65">
        <v>1436</v>
      </c>
      <c r="B1444" s="175">
        <v>-0.37</v>
      </c>
      <c r="C1444" s="184">
        <v>0.72413793103448276</v>
      </c>
      <c r="D1444" s="177">
        <v>59459459.459459461</v>
      </c>
      <c r="E1444" s="26"/>
      <c r="F1444" s="184">
        <v>6.6126750000000003</v>
      </c>
      <c r="G1444" s="177">
        <v>2503243243.2432432</v>
      </c>
      <c r="H1444" s="177">
        <v>254478000</v>
      </c>
      <c r="I1444" s="175">
        <v>9.8367766299768284</v>
      </c>
      <c r="J1444" s="177">
        <v>0</v>
      </c>
    </row>
    <row r="1445" spans="1:11">
      <c r="A1445" s="65">
        <v>4728</v>
      </c>
      <c r="B1445" s="175">
        <v>-0.24</v>
      </c>
      <c r="C1445" s="184">
        <v>1</v>
      </c>
      <c r="D1445" s="177">
        <v>54166666.666666672</v>
      </c>
      <c r="E1445" s="26"/>
      <c r="F1445" s="184">
        <v>9.0124999999999997E-2</v>
      </c>
      <c r="G1445" s="177">
        <v>1522083333.3333335</v>
      </c>
      <c r="H1445" s="177">
        <v>152838000</v>
      </c>
      <c r="I1445" s="175">
        <v>9.9588016941685549</v>
      </c>
      <c r="J1445" s="177">
        <v>0</v>
      </c>
    </row>
    <row r="1446" spans="1:11">
      <c r="A1446" s="65">
        <v>1235</v>
      </c>
      <c r="B1446" s="180">
        <v>-0.55000000000000004</v>
      </c>
      <c r="C1446" s="184">
        <v>0.28125</v>
      </c>
      <c r="D1446" s="181">
        <v>58181818.18181818</v>
      </c>
      <c r="E1446" s="179"/>
      <c r="F1446" s="184">
        <v>1.7158333333333317E-2</v>
      </c>
      <c r="G1446" s="181">
        <v>1061818181.8181818</v>
      </c>
      <c r="H1446" s="181">
        <v>105220000</v>
      </c>
      <c r="I1446" s="180">
        <v>10</v>
      </c>
      <c r="J1446" s="181">
        <v>0</v>
      </c>
    </row>
    <row r="1447" spans="1:11">
      <c r="A1447" s="65">
        <v>4130</v>
      </c>
      <c r="B1447" s="175">
        <v>7.0000000000000007E-2</v>
      </c>
      <c r="C1447" s="184">
        <v>1</v>
      </c>
      <c r="D1447" s="177">
        <v>99999999.999999985</v>
      </c>
      <c r="E1447" s="26"/>
      <c r="F1447" s="184">
        <v>2.110833333333333E-2</v>
      </c>
      <c r="G1447" s="177">
        <v>4599999999.999999</v>
      </c>
      <c r="H1447" s="177">
        <v>454368000</v>
      </c>
      <c r="I1447" s="175">
        <v>10</v>
      </c>
      <c r="J1447" s="177">
        <v>50</v>
      </c>
    </row>
    <row r="1448" spans="1:11">
      <c r="A1448" s="65">
        <v>1729</v>
      </c>
      <c r="B1448" s="175">
        <v>-0.11</v>
      </c>
      <c r="C1448" s="184">
        <v>1</v>
      </c>
      <c r="D1448" s="177">
        <v>181818181.81818181</v>
      </c>
      <c r="E1448" s="26"/>
      <c r="F1448" s="184">
        <v>4.6158333333333329E-2</v>
      </c>
      <c r="G1448" s="177">
        <v>13854545454.545454</v>
      </c>
      <c r="H1448" s="177">
        <v>1361203000</v>
      </c>
      <c r="I1448" s="175">
        <v>10</v>
      </c>
      <c r="J1448" s="177">
        <v>0</v>
      </c>
    </row>
    <row r="1449" spans="1:11">
      <c r="A1449" s="65">
        <v>3040</v>
      </c>
      <c r="B1449" s="175">
        <v>0.86</v>
      </c>
      <c r="C1449" s="184">
        <v>0</v>
      </c>
      <c r="D1449" s="177">
        <v>62790697.674418606</v>
      </c>
      <c r="E1449" s="26"/>
      <c r="F1449" s="184">
        <v>1.1724999999999994E-2</v>
      </c>
      <c r="G1449" s="177">
        <v>2379767441.860465</v>
      </c>
      <c r="H1449" s="177">
        <v>231843000</v>
      </c>
      <c r="I1449" s="175">
        <v>10</v>
      </c>
      <c r="J1449" s="177">
        <v>0</v>
      </c>
    </row>
    <row r="1450" spans="1:11">
      <c r="A1450" s="65">
        <v>2509</v>
      </c>
      <c r="B1450" s="175">
        <v>-0.37</v>
      </c>
      <c r="C1450" s="184">
        <v>0.6964285714285714</v>
      </c>
      <c r="D1450" s="177">
        <v>151351351.35135135</v>
      </c>
      <c r="E1450" s="26"/>
      <c r="F1450" s="184">
        <v>1.5740166666666664</v>
      </c>
      <c r="G1450" s="177">
        <v>3443243243.2432432</v>
      </c>
      <c r="H1450" s="177">
        <v>331576000</v>
      </c>
      <c r="I1450" s="175">
        <v>10</v>
      </c>
      <c r="J1450" s="177">
        <v>0</v>
      </c>
    </row>
    <row r="1451" spans="1:11">
      <c r="A1451" s="65">
        <v>5455</v>
      </c>
      <c r="B1451" s="175">
        <v>-0.34</v>
      </c>
      <c r="C1451" s="184">
        <v>1</v>
      </c>
      <c r="D1451" s="177">
        <v>35294117.647058822</v>
      </c>
      <c r="E1451" s="26"/>
      <c r="F1451" s="184">
        <v>-8.6383333333333326E-2</v>
      </c>
      <c r="G1451" s="177">
        <v>212823529.41176471</v>
      </c>
      <c r="H1451" s="177">
        <v>20380000</v>
      </c>
      <c r="I1451" s="175">
        <v>10</v>
      </c>
      <c r="J1451" s="177">
        <v>0</v>
      </c>
    </row>
    <row r="1452" spans="1:11">
      <c r="A1452" s="65">
        <v>6171</v>
      </c>
      <c r="B1452" s="175">
        <v>0.28000000000000003</v>
      </c>
      <c r="C1452" s="184">
        <v>1</v>
      </c>
      <c r="D1452" s="177">
        <v>64285714.285714276</v>
      </c>
      <c r="E1452" s="26"/>
      <c r="F1452" s="184">
        <v>476.767875</v>
      </c>
      <c r="G1452" s="177">
        <v>848571428.57142842</v>
      </c>
      <c r="H1452" s="177">
        <v>80279000</v>
      </c>
      <c r="I1452" s="175">
        <v>10</v>
      </c>
      <c r="J1452" s="177">
        <v>11.785714285714285</v>
      </c>
    </row>
    <row r="1453" spans="1:11">
      <c r="A1453" s="65">
        <v>2231</v>
      </c>
      <c r="B1453" s="175">
        <v>3.45</v>
      </c>
      <c r="C1453" s="184">
        <v>1</v>
      </c>
      <c r="D1453" s="177">
        <v>72463768.115942031</v>
      </c>
      <c r="E1453" s="26"/>
      <c r="F1453" s="184">
        <v>9.0833333333333272E-4</v>
      </c>
      <c r="G1453" s="177">
        <v>29130434782.608696</v>
      </c>
      <c r="H1453" s="177">
        <v>2736405000</v>
      </c>
      <c r="I1453" s="175">
        <v>10</v>
      </c>
      <c r="J1453" s="177">
        <v>29.130434782608695</v>
      </c>
    </row>
    <row r="1454" spans="1:11">
      <c r="A1454" s="65">
        <v>5274</v>
      </c>
      <c r="B1454" s="175">
        <v>3.71</v>
      </c>
      <c r="C1454" s="184">
        <v>1</v>
      </c>
      <c r="D1454" s="177">
        <v>31536388.140161727</v>
      </c>
      <c r="E1454" s="26"/>
      <c r="F1454" s="184">
        <v>2.8999999999999998E-2</v>
      </c>
      <c r="G1454" s="177">
        <v>10706603773.584906</v>
      </c>
      <c r="H1454" s="177">
        <v>986523000</v>
      </c>
      <c r="I1454" s="175">
        <v>10</v>
      </c>
      <c r="J1454" s="177">
        <v>22.877358490566039</v>
      </c>
    </row>
    <row r="1455" spans="1:11">
      <c r="A1455" s="65">
        <v>3064</v>
      </c>
      <c r="B1455" s="175">
        <v>-0.6</v>
      </c>
      <c r="C1455" s="184">
        <v>0.75151515151515147</v>
      </c>
      <c r="D1455" s="177">
        <v>71666666.666666672</v>
      </c>
      <c r="E1455" s="26"/>
      <c r="F1455" s="184">
        <v>0.5580750000000001</v>
      </c>
      <c r="G1455" s="177">
        <v>1576666666.6666667</v>
      </c>
      <c r="H1455" s="177">
        <v>144178000</v>
      </c>
      <c r="I1455" s="175">
        <v>10</v>
      </c>
      <c r="J1455" s="177">
        <v>0</v>
      </c>
    </row>
    <row r="1456" spans="1:11">
      <c r="A1456" s="65">
        <v>8913</v>
      </c>
      <c r="B1456" s="175">
        <v>0.1</v>
      </c>
      <c r="C1456" s="184">
        <v>1</v>
      </c>
      <c r="D1456" s="177">
        <v>50000000</v>
      </c>
      <c r="E1456" s="26"/>
      <c r="F1456" s="184">
        <v>8.2083333333333331E-3</v>
      </c>
      <c r="G1456" s="177">
        <v>767500000</v>
      </c>
      <c r="H1456" s="177">
        <v>69179000</v>
      </c>
      <c r="I1456" s="175">
        <v>10</v>
      </c>
      <c r="J1456" s="177">
        <v>38.375</v>
      </c>
    </row>
    <row r="1457" spans="1:10">
      <c r="A1457" s="65">
        <v>4131</v>
      </c>
      <c r="B1457" s="175">
        <v>-0.19</v>
      </c>
      <c r="C1457" s="184">
        <v>1</v>
      </c>
      <c r="D1457" s="177">
        <v>36842105.263157897</v>
      </c>
      <c r="E1457" s="26"/>
      <c r="F1457" s="184">
        <v>0.73311666666666664</v>
      </c>
      <c r="G1457" s="177">
        <v>297684210.52631581</v>
      </c>
      <c r="H1457" s="177">
        <v>26196000</v>
      </c>
      <c r="I1457" s="175">
        <v>10</v>
      </c>
      <c r="J1457" s="177">
        <v>0</v>
      </c>
    </row>
    <row r="1458" spans="1:10">
      <c r="A1458" s="65">
        <v>3083</v>
      </c>
      <c r="B1458" s="175">
        <v>-0.9</v>
      </c>
      <c r="C1458" s="184">
        <v>1</v>
      </c>
      <c r="D1458" s="177">
        <v>85555555.555555552</v>
      </c>
      <c r="E1458" s="26"/>
      <c r="F1458" s="184">
        <v>4.5699999999999998E-2</v>
      </c>
      <c r="G1458" s="177">
        <v>3721666666.6666665</v>
      </c>
      <c r="H1458" s="177">
        <v>315631000</v>
      </c>
      <c r="I1458" s="175">
        <v>10</v>
      </c>
      <c r="J1458" s="177">
        <v>0</v>
      </c>
    </row>
    <row r="1459" spans="1:10">
      <c r="A1459" s="65">
        <v>1419</v>
      </c>
      <c r="B1459" s="175">
        <v>-0.05</v>
      </c>
      <c r="C1459" s="184">
        <v>0.95348837209302328</v>
      </c>
      <c r="D1459" s="177">
        <v>360000000</v>
      </c>
      <c r="E1459" s="26"/>
      <c r="F1459" s="184">
        <v>2.1166666666666667E-2</v>
      </c>
      <c r="G1459" s="177">
        <v>13842000000.000002</v>
      </c>
      <c r="H1459" s="177">
        <v>1142324000</v>
      </c>
      <c r="I1459" s="175">
        <v>10</v>
      </c>
      <c r="J1459" s="177">
        <v>0</v>
      </c>
    </row>
    <row r="1460" spans="1:10">
      <c r="A1460" s="65">
        <v>1786</v>
      </c>
      <c r="B1460" s="175">
        <v>0.1</v>
      </c>
      <c r="C1460" s="184">
        <v>1</v>
      </c>
      <c r="D1460" s="177">
        <v>50000000</v>
      </c>
      <c r="E1460" s="26"/>
      <c r="F1460" s="184">
        <v>0.11119166666666665</v>
      </c>
      <c r="G1460" s="177">
        <v>3050000000</v>
      </c>
      <c r="H1460" s="177">
        <v>239445000</v>
      </c>
      <c r="I1460" s="175">
        <v>10</v>
      </c>
      <c r="J1460" s="177">
        <v>50</v>
      </c>
    </row>
    <row r="1461" spans="1:10">
      <c r="A1461" s="65">
        <v>3081</v>
      </c>
      <c r="B1461" s="175">
        <v>3.92</v>
      </c>
      <c r="C1461" s="184">
        <v>0.99250000000000005</v>
      </c>
      <c r="D1461" s="177">
        <v>55357142.857142858</v>
      </c>
      <c r="E1461" s="26"/>
      <c r="F1461" s="184">
        <v>5.595E-2</v>
      </c>
      <c r="G1461" s="177">
        <v>23858928571.428574</v>
      </c>
      <c r="H1461" s="177">
        <v>1862037000</v>
      </c>
      <c r="I1461" s="175">
        <v>10</v>
      </c>
      <c r="J1461" s="177">
        <v>27.694957076029404</v>
      </c>
    </row>
    <row r="1462" spans="1:10">
      <c r="A1462" s="65">
        <v>3658</v>
      </c>
      <c r="B1462" s="175">
        <v>6.64</v>
      </c>
      <c r="C1462" s="184">
        <v>1</v>
      </c>
      <c r="D1462" s="177">
        <v>70933734.939759046</v>
      </c>
      <c r="E1462" s="26"/>
      <c r="F1462" s="184">
        <v>2.4813499999999999</v>
      </c>
      <c r="G1462" s="177">
        <v>99661897590.361465</v>
      </c>
      <c r="H1462" s="177">
        <v>7506148000</v>
      </c>
      <c r="I1462" s="175">
        <v>10</v>
      </c>
      <c r="J1462" s="177">
        <v>50</v>
      </c>
    </row>
    <row r="1463" spans="1:10">
      <c r="A1463" s="65">
        <v>2901</v>
      </c>
      <c r="B1463" s="175">
        <v>0.09</v>
      </c>
      <c r="C1463" s="184">
        <v>0.7142857142857143</v>
      </c>
      <c r="D1463" s="177">
        <v>77777777.777777776</v>
      </c>
      <c r="E1463" s="26"/>
      <c r="F1463" s="184">
        <v>7.7658333333333315E-2</v>
      </c>
      <c r="G1463" s="177">
        <v>2100000000</v>
      </c>
      <c r="H1463" s="177">
        <v>156437000</v>
      </c>
      <c r="I1463" s="175">
        <v>10</v>
      </c>
      <c r="J1463" s="177">
        <v>50</v>
      </c>
    </row>
    <row r="1464" spans="1:10">
      <c r="A1464" s="65">
        <v>2701</v>
      </c>
      <c r="B1464" s="175">
        <v>0.28000000000000003</v>
      </c>
      <c r="C1464" s="184">
        <v>0.28402366863905326</v>
      </c>
      <c r="D1464" s="177">
        <v>371428571.4285714</v>
      </c>
      <c r="E1464" s="26"/>
      <c r="F1464" s="184">
        <v>9.3500000000000041E-3</v>
      </c>
      <c r="G1464" s="177">
        <v>5367142857.1428566</v>
      </c>
      <c r="H1464" s="177">
        <v>398251000</v>
      </c>
      <c r="I1464" s="175">
        <v>10</v>
      </c>
      <c r="J1464" s="177">
        <v>45.425037202380949</v>
      </c>
    </row>
    <row r="1465" spans="1:10">
      <c r="A1465" s="65">
        <v>1438</v>
      </c>
      <c r="B1465" s="175">
        <v>-0.02</v>
      </c>
      <c r="C1465" s="184">
        <v>1</v>
      </c>
      <c r="D1465" s="177">
        <v>100000000</v>
      </c>
      <c r="E1465" s="26"/>
      <c r="F1465" s="184">
        <v>287.5336916666667</v>
      </c>
      <c r="G1465" s="177">
        <v>480000000</v>
      </c>
      <c r="H1465" s="177">
        <v>35318000</v>
      </c>
      <c r="I1465" s="175">
        <v>10</v>
      </c>
      <c r="J1465" s="177">
        <v>0</v>
      </c>
    </row>
    <row r="1466" spans="1:10">
      <c r="A1466" s="65">
        <v>5481</v>
      </c>
      <c r="B1466" s="175">
        <v>-0.55000000000000004</v>
      </c>
      <c r="C1466" s="184">
        <v>0.53246753246753242</v>
      </c>
      <c r="D1466" s="177">
        <v>96363636.36363636</v>
      </c>
      <c r="E1466" s="26"/>
      <c r="F1466" s="184">
        <v>-0.23810000000000001</v>
      </c>
      <c r="G1466" s="177">
        <v>1532181818.1818182</v>
      </c>
      <c r="H1466" s="177">
        <v>104821000</v>
      </c>
      <c r="I1466" s="175">
        <v>10</v>
      </c>
      <c r="J1466" s="177">
        <v>0</v>
      </c>
    </row>
    <row r="1467" spans="1:10">
      <c r="A1467" s="65">
        <v>4905</v>
      </c>
      <c r="B1467" s="175">
        <v>-0.28999999999999998</v>
      </c>
      <c r="C1467" s="184">
        <v>0</v>
      </c>
      <c r="D1467" s="177">
        <v>51724137.931034483</v>
      </c>
      <c r="E1467" s="26"/>
      <c r="F1467" s="184">
        <v>0.27110000000000001</v>
      </c>
      <c r="G1467" s="177">
        <v>2198275862.0689654</v>
      </c>
      <c r="H1467" s="177">
        <v>145503000</v>
      </c>
      <c r="I1467" s="175">
        <v>10</v>
      </c>
      <c r="J1467" s="177">
        <v>0</v>
      </c>
    </row>
    <row r="1468" spans="1:10">
      <c r="A1468" s="65">
        <v>5529</v>
      </c>
      <c r="B1468" s="175">
        <v>-0.17</v>
      </c>
      <c r="C1468" s="184">
        <v>0.83333333333333337</v>
      </c>
      <c r="D1468" s="177">
        <v>105882352.94117646</v>
      </c>
      <c r="E1468" s="26"/>
      <c r="F1468" s="184">
        <v>15.805749999999998</v>
      </c>
      <c r="G1468" s="177">
        <v>938117647.05882335</v>
      </c>
      <c r="H1468" s="177">
        <v>57055000</v>
      </c>
      <c r="I1468" s="175">
        <v>10</v>
      </c>
      <c r="J1468" s="177">
        <v>0</v>
      </c>
    </row>
    <row r="1469" spans="1:10">
      <c r="A1469" s="65">
        <v>2528</v>
      </c>
      <c r="B1469" s="175">
        <v>-0.15</v>
      </c>
      <c r="C1469" s="184">
        <v>1</v>
      </c>
      <c r="D1469" s="177">
        <v>120000000</v>
      </c>
      <c r="E1469" s="26"/>
      <c r="F1469" s="184">
        <v>694.10209999999995</v>
      </c>
      <c r="G1469" s="177">
        <v>1206000000</v>
      </c>
      <c r="H1469" s="177">
        <v>70094000</v>
      </c>
      <c r="I1469" s="175">
        <v>10</v>
      </c>
      <c r="J1469" s="177">
        <v>0</v>
      </c>
    </row>
    <row r="1470" spans="1:10">
      <c r="A1470" s="65">
        <v>5514</v>
      </c>
      <c r="B1470" s="175">
        <v>-0.12</v>
      </c>
      <c r="C1470" s="184">
        <v>1</v>
      </c>
      <c r="D1470" s="177">
        <v>141666666.66666669</v>
      </c>
      <c r="E1470" s="26"/>
      <c r="F1470" s="184">
        <v>-3.2850000000000004E-2</v>
      </c>
      <c r="G1470" s="177">
        <v>1671666666.666667</v>
      </c>
      <c r="H1470" s="177">
        <v>95067000</v>
      </c>
      <c r="I1470" s="175">
        <v>10</v>
      </c>
      <c r="J1470" s="177">
        <v>0</v>
      </c>
    </row>
    <row r="1471" spans="1:10">
      <c r="A1471" s="65">
        <v>1529</v>
      </c>
      <c r="B1471" s="175">
        <v>-0.09</v>
      </c>
      <c r="C1471" s="184">
        <v>0.29411764705882354</v>
      </c>
      <c r="D1471" s="177">
        <v>300000000</v>
      </c>
      <c r="E1471" s="26"/>
      <c r="F1471" s="184">
        <v>0.75372500000000009</v>
      </c>
      <c r="G1471" s="177">
        <v>1797000000</v>
      </c>
      <c r="H1471" s="177">
        <v>99536000</v>
      </c>
      <c r="I1471" s="175">
        <v>10</v>
      </c>
      <c r="J1471" s="177">
        <v>0</v>
      </c>
    </row>
    <row r="1472" spans="1:10">
      <c r="A1472" s="65">
        <v>2363</v>
      </c>
      <c r="B1472" s="175">
        <v>-0.12</v>
      </c>
      <c r="C1472" s="184">
        <v>0.96875</v>
      </c>
      <c r="D1472" s="177">
        <v>608333333.33333337</v>
      </c>
      <c r="E1472" s="26"/>
      <c r="F1472" s="184">
        <v>5.688333333333332E-2</v>
      </c>
      <c r="G1472" s="177">
        <v>4641583333.333334</v>
      </c>
      <c r="H1472" s="177">
        <v>240664000</v>
      </c>
      <c r="I1472" s="175">
        <v>10</v>
      </c>
      <c r="J1472" s="177">
        <v>0</v>
      </c>
    </row>
    <row r="1473" spans="1:11">
      <c r="A1473" s="65">
        <v>5263</v>
      </c>
      <c r="B1473" s="175">
        <v>0.9</v>
      </c>
      <c r="C1473" s="184">
        <v>1</v>
      </c>
      <c r="D1473" s="177">
        <v>43333333.333333336</v>
      </c>
      <c r="E1473" s="26"/>
      <c r="F1473" s="184">
        <v>7.0625000000000007E-2</v>
      </c>
      <c r="G1473" s="177">
        <v>12198333333.333334</v>
      </c>
      <c r="H1473" s="177">
        <v>606230000</v>
      </c>
      <c r="I1473" s="175">
        <v>10</v>
      </c>
      <c r="J1473" s="177">
        <v>50</v>
      </c>
    </row>
    <row r="1474" spans="1:11">
      <c r="A1474" s="65">
        <v>4142</v>
      </c>
      <c r="B1474" s="175">
        <v>-0.39</v>
      </c>
      <c r="C1474" s="184">
        <v>1</v>
      </c>
      <c r="D1474" s="177">
        <v>238461538.46153846</v>
      </c>
      <c r="E1474" s="26"/>
      <c r="F1474" s="184">
        <v>2.1729500000000002</v>
      </c>
      <c r="G1474" s="177">
        <v>6343076923.0769234</v>
      </c>
      <c r="H1474" s="177">
        <v>312126000</v>
      </c>
      <c r="I1474" s="175">
        <v>10</v>
      </c>
      <c r="J1474" s="177">
        <v>0</v>
      </c>
    </row>
    <row r="1475" spans="1:11">
      <c r="A1475" s="65">
        <v>2706</v>
      </c>
      <c r="B1475" s="175">
        <v>0.37</v>
      </c>
      <c r="C1475" s="184">
        <v>0.2839506172839506</v>
      </c>
      <c r="D1475" s="177">
        <v>394594594.5945946</v>
      </c>
      <c r="E1475" s="26"/>
      <c r="F1475" s="184">
        <v>-5.4083333333333336E-3</v>
      </c>
      <c r="G1475" s="177">
        <v>7891891891.8918915</v>
      </c>
      <c r="H1475" s="177">
        <v>368425000</v>
      </c>
      <c r="I1475" s="175">
        <v>10</v>
      </c>
      <c r="J1475" s="177">
        <v>47.591069330199765</v>
      </c>
    </row>
    <row r="1476" spans="1:11">
      <c r="A1476" s="65">
        <v>1903</v>
      </c>
      <c r="B1476" s="175">
        <v>-0.26</v>
      </c>
      <c r="C1476" s="184">
        <v>1</v>
      </c>
      <c r="D1476" s="177">
        <v>257692307.69230768</v>
      </c>
      <c r="E1476" s="26"/>
      <c r="F1476" s="184">
        <v>-0.15693333333333334</v>
      </c>
      <c r="G1476" s="177">
        <v>7859615384.6153841</v>
      </c>
      <c r="H1476" s="177">
        <v>338080000</v>
      </c>
      <c r="I1476" s="175">
        <v>10</v>
      </c>
      <c r="J1476" s="177">
        <v>0</v>
      </c>
    </row>
    <row r="1477" spans="1:11">
      <c r="A1477" s="65">
        <v>3529</v>
      </c>
      <c r="B1477" s="175">
        <v>1.72</v>
      </c>
      <c r="C1477" s="184">
        <v>0.96721311475409832</v>
      </c>
      <c r="D1477" s="177">
        <v>75581395.348837212</v>
      </c>
      <c r="E1477" s="26"/>
      <c r="F1477" s="184">
        <v>2.386141666666667</v>
      </c>
      <c r="G1477" s="177">
        <v>27587209302.325581</v>
      </c>
      <c r="H1477" s="177">
        <v>1076912000</v>
      </c>
      <c r="I1477" s="175">
        <v>10</v>
      </c>
      <c r="J1477" s="177">
        <v>50</v>
      </c>
    </row>
    <row r="1478" spans="1:11">
      <c r="A1478" s="65">
        <v>8038</v>
      </c>
      <c r="B1478" s="175">
        <v>-0.69</v>
      </c>
      <c r="C1478" s="184">
        <v>0.875</v>
      </c>
      <c r="D1478" s="177">
        <v>53623188.405797109</v>
      </c>
      <c r="E1478" s="26"/>
      <c r="F1478" s="184">
        <v>0.13748333333333332</v>
      </c>
      <c r="G1478" s="177">
        <v>2230724637.68116</v>
      </c>
      <c r="H1478" s="177">
        <v>69061000</v>
      </c>
      <c r="I1478" s="175">
        <v>10</v>
      </c>
      <c r="J1478" s="177">
        <v>0</v>
      </c>
    </row>
    <row r="1479" spans="1:11">
      <c r="A1479" s="65">
        <v>6264</v>
      </c>
      <c r="B1479" s="175">
        <v>-0.2</v>
      </c>
      <c r="C1479" s="184">
        <v>0.75</v>
      </c>
      <c r="D1479" s="177">
        <v>135000000</v>
      </c>
      <c r="E1479" s="26"/>
      <c r="F1479" s="184">
        <v>0.14073333333333329</v>
      </c>
      <c r="G1479" s="177">
        <v>850500000</v>
      </c>
      <c r="H1479" s="177">
        <v>24539000</v>
      </c>
      <c r="I1479" s="175">
        <v>10</v>
      </c>
      <c r="J1479" s="177">
        <v>0</v>
      </c>
    </row>
    <row r="1480" spans="1:11">
      <c r="A1480" s="65">
        <v>3176</v>
      </c>
      <c r="B1480" s="175">
        <v>-0.82</v>
      </c>
      <c r="C1480" s="184">
        <v>1</v>
      </c>
      <c r="D1480" s="177">
        <v>139024390.24390244</v>
      </c>
      <c r="E1480" s="26"/>
      <c r="F1480" s="184">
        <v>1.2199999999999996E-2</v>
      </c>
      <c r="G1480" s="177">
        <v>12915365853.658539</v>
      </c>
      <c r="H1480" s="177">
        <v>368892000</v>
      </c>
      <c r="I1480" s="175">
        <v>10</v>
      </c>
      <c r="J1480" s="177">
        <v>0</v>
      </c>
    </row>
    <row r="1481" spans="1:11">
      <c r="A1481" s="65">
        <v>4726</v>
      </c>
      <c r="B1481" s="175">
        <v>-0.48</v>
      </c>
      <c r="C1481" s="184">
        <v>1</v>
      </c>
      <c r="D1481" s="177">
        <v>110416666.66666667</v>
      </c>
      <c r="E1481" s="26"/>
      <c r="F1481" s="184">
        <v>0.97666666666666657</v>
      </c>
      <c r="G1481" s="177">
        <v>5189583333.333334</v>
      </c>
      <c r="H1481" s="177">
        <v>136410000</v>
      </c>
      <c r="I1481" s="175">
        <v>10</v>
      </c>
      <c r="J1481" s="177">
        <v>0</v>
      </c>
    </row>
    <row r="1482" spans="1:11">
      <c r="A1482" s="65">
        <v>4162</v>
      </c>
      <c r="B1482" s="175">
        <v>4.1500000000000004</v>
      </c>
      <c r="C1482" s="184">
        <v>1</v>
      </c>
      <c r="D1482" s="177">
        <v>101927710.84337349</v>
      </c>
      <c r="E1482" s="26"/>
      <c r="F1482" s="184">
        <v>54.314791666666672</v>
      </c>
      <c r="G1482" s="177">
        <v>21200963855.421688</v>
      </c>
      <c r="H1482" s="177">
        <v>511448000</v>
      </c>
      <c r="I1482" s="175">
        <v>10</v>
      </c>
      <c r="J1482" s="177">
        <v>12.53012048192771</v>
      </c>
      <c r="K1482" s="32"/>
    </row>
    <row r="1483" spans="1:11">
      <c r="A1483" s="65">
        <v>4180</v>
      </c>
      <c r="B1483" s="175">
        <v>0.69</v>
      </c>
      <c r="C1483" s="184">
        <v>1</v>
      </c>
      <c r="D1483" s="177">
        <v>111594202.89855073</v>
      </c>
      <c r="E1483" s="26"/>
      <c r="F1483" s="184">
        <v>0.27499999999999997</v>
      </c>
      <c r="G1483" s="177">
        <v>20198550724.637684</v>
      </c>
      <c r="H1483" s="177">
        <v>430052000</v>
      </c>
      <c r="I1483" s="175">
        <v>10</v>
      </c>
      <c r="J1483" s="177">
        <v>50</v>
      </c>
    </row>
    <row r="1484" spans="1:11">
      <c r="A1484" s="65">
        <v>8082</v>
      </c>
      <c r="B1484" s="175">
        <v>-0.22</v>
      </c>
      <c r="C1484" s="184">
        <v>0.23076923076923078</v>
      </c>
      <c r="D1484" s="177">
        <v>100000000</v>
      </c>
      <c r="E1484" s="26"/>
      <c r="F1484" s="184">
        <v>5.445833333333331E-2</v>
      </c>
      <c r="G1484" s="177">
        <v>275000000</v>
      </c>
      <c r="H1484" s="177">
        <v>5091000</v>
      </c>
      <c r="I1484" s="175">
        <v>10</v>
      </c>
      <c r="J1484" s="177">
        <v>0</v>
      </c>
    </row>
    <row r="1485" spans="1:11">
      <c r="A1485" s="65">
        <v>4911</v>
      </c>
      <c r="B1485" s="175">
        <v>-0.13</v>
      </c>
      <c r="C1485" s="184">
        <v>1</v>
      </c>
      <c r="D1485" s="177">
        <v>53846153.846153848</v>
      </c>
      <c r="E1485" s="26"/>
      <c r="F1485" s="184">
        <v>0.14624166666666666</v>
      </c>
      <c r="G1485" s="177">
        <v>4566153846.1538458</v>
      </c>
      <c r="H1485" s="177">
        <v>47788000</v>
      </c>
      <c r="I1485" s="175">
        <v>10</v>
      </c>
      <c r="J1485" s="177">
        <v>0</v>
      </c>
    </row>
    <row r="1486" spans="1:11">
      <c r="A1486" s="65">
        <v>4152</v>
      </c>
      <c r="B1486" s="175">
        <v>-3.48</v>
      </c>
      <c r="C1486" s="184">
        <v>1</v>
      </c>
      <c r="D1486" s="177">
        <v>55172413.793103449</v>
      </c>
      <c r="E1486" s="26"/>
      <c r="F1486" s="184">
        <v>0.3716000000000001</v>
      </c>
      <c r="G1486" s="177">
        <v>7531034482.7586212</v>
      </c>
      <c r="H1486" s="177">
        <v>59097000</v>
      </c>
      <c r="I1486" s="175">
        <v>10</v>
      </c>
      <c r="J1486" s="177">
        <v>0</v>
      </c>
    </row>
    <row r="1487" spans="1:11">
      <c r="A1487" s="65">
        <v>4192</v>
      </c>
      <c r="B1487" s="175">
        <v>-0.7</v>
      </c>
      <c r="C1487" s="184">
        <v>0.967741935483871</v>
      </c>
      <c r="D1487" s="177">
        <v>58571428.571428575</v>
      </c>
      <c r="E1487" s="26"/>
      <c r="F1487" s="184">
        <v>1.5619833333333333</v>
      </c>
      <c r="G1487" s="177">
        <v>2782142857.1428571</v>
      </c>
      <c r="H1487" s="177">
        <v>15117000</v>
      </c>
      <c r="I1487" s="175">
        <v>10</v>
      </c>
      <c r="J1487" s="177">
        <v>0</v>
      </c>
    </row>
    <row r="1488" spans="1:11">
      <c r="A1488" s="65">
        <v>2424</v>
      </c>
      <c r="B1488" s="175">
        <v>-0.4</v>
      </c>
      <c r="C1488" s="184">
        <v>0.59090909090909094</v>
      </c>
      <c r="D1488" s="177">
        <v>30000000</v>
      </c>
      <c r="E1488" s="26"/>
      <c r="F1488" s="184">
        <v>9.3251083333333327</v>
      </c>
      <c r="G1488" s="177">
        <v>919500000</v>
      </c>
      <c r="H1488" s="177">
        <v>4554000</v>
      </c>
      <c r="I1488" s="175">
        <v>10</v>
      </c>
      <c r="J1488" s="177">
        <v>0</v>
      </c>
    </row>
    <row r="1489" spans="1:10">
      <c r="A1489" s="65">
        <v>4108</v>
      </c>
      <c r="B1489" s="175">
        <v>-0.36</v>
      </c>
      <c r="C1489" s="184">
        <v>1</v>
      </c>
      <c r="D1489" s="177">
        <v>163888888.8888889</v>
      </c>
      <c r="E1489" s="26"/>
      <c r="F1489" s="184">
        <v>0.13990833333333333</v>
      </c>
      <c r="G1489" s="177">
        <v>5055972222.2222223</v>
      </c>
      <c r="H1489" s="177">
        <v>22962000</v>
      </c>
      <c r="I1489" s="175">
        <v>10</v>
      </c>
      <c r="J1489" s="177">
        <v>0</v>
      </c>
    </row>
    <row r="1490" spans="1:10">
      <c r="A1490" s="65">
        <v>4157</v>
      </c>
      <c r="B1490" s="175">
        <v>-0.15</v>
      </c>
      <c r="C1490" s="184">
        <v>1</v>
      </c>
      <c r="D1490" s="177">
        <v>720000000</v>
      </c>
      <c r="E1490" s="26"/>
      <c r="F1490" s="184">
        <v>-3.6499999999999992E-3</v>
      </c>
      <c r="G1490" s="177">
        <v>19908000000</v>
      </c>
      <c r="H1490" s="177">
        <v>77881000</v>
      </c>
      <c r="I1490" s="175">
        <v>10</v>
      </c>
      <c r="J1490" s="177">
        <v>0</v>
      </c>
    </row>
    <row r="1491" spans="1:10">
      <c r="A1491" s="65">
        <v>4168</v>
      </c>
      <c r="B1491" s="175">
        <v>-0.21</v>
      </c>
      <c r="C1491" s="184">
        <v>1</v>
      </c>
      <c r="D1491" s="177">
        <v>76190476.190476194</v>
      </c>
      <c r="E1491" s="26"/>
      <c r="F1491" s="184">
        <v>6.8045916666666661</v>
      </c>
      <c r="G1491" s="177">
        <v>3748571428.5714288</v>
      </c>
      <c r="H1491" s="177">
        <v>13607000</v>
      </c>
      <c r="I1491" s="175">
        <v>10</v>
      </c>
      <c r="J1491" s="177">
        <v>0</v>
      </c>
    </row>
    <row r="1492" spans="1:10" ht="16.149999999999999" customHeight="1">
      <c r="A1492" s="65">
        <v>4743</v>
      </c>
      <c r="B1492" s="175">
        <v>-0.13</v>
      </c>
      <c r="C1492" s="184">
        <v>0.95744680851063835</v>
      </c>
      <c r="D1492" s="177">
        <v>176923076.92307693</v>
      </c>
      <c r="E1492" s="26"/>
      <c r="F1492" s="184">
        <v>1.119375</v>
      </c>
      <c r="G1492" s="177">
        <v>6581538461.5384626</v>
      </c>
      <c r="H1492" s="177">
        <v>8387000</v>
      </c>
      <c r="I1492" s="175">
        <v>10</v>
      </c>
      <c r="J1492" s="177">
        <v>0</v>
      </c>
    </row>
    <row r="1493" spans="1:10" ht="16.5" customHeight="1">
      <c r="A1493" s="65">
        <v>4529</v>
      </c>
      <c r="B1493" s="175">
        <v>-0.55000000000000004</v>
      </c>
      <c r="C1493" s="184">
        <v>0.93243243243243246</v>
      </c>
      <c r="D1493" s="177">
        <v>72727272.727272719</v>
      </c>
      <c r="E1493" s="26"/>
      <c r="F1493" s="184">
        <v>0.1001666666666667</v>
      </c>
      <c r="G1493" s="177">
        <v>4494545454.545454</v>
      </c>
      <c r="H1493" s="177">
        <v>5481000</v>
      </c>
      <c r="I1493" s="175">
        <v>10</v>
      </c>
      <c r="J1493" s="177">
        <v>0</v>
      </c>
    </row>
    <row r="1494" spans="1:10" ht="16.5" customHeight="1">
      <c r="A1494" s="65">
        <v>4188</v>
      </c>
      <c r="B1494" s="175">
        <v>-0.32</v>
      </c>
      <c r="C1494" s="184">
        <v>1</v>
      </c>
      <c r="D1494" s="177">
        <v>37500000</v>
      </c>
      <c r="E1494" s="26"/>
      <c r="F1494" s="184">
        <v>0</v>
      </c>
      <c r="G1494" s="177">
        <v>1316250000</v>
      </c>
      <c r="H1494" s="177">
        <v>31000</v>
      </c>
      <c r="I1494" s="175">
        <v>10</v>
      </c>
      <c r="J1494" s="177">
        <v>0</v>
      </c>
    </row>
    <row r="1495" spans="1:10">
      <c r="B1495" s="175"/>
      <c r="C1495" s="184"/>
      <c r="D1495" s="177"/>
      <c r="E1495" s="26"/>
      <c r="F1495" s="184"/>
      <c r="G1495" s="177"/>
      <c r="H1495" s="177"/>
      <c r="I1495" s="175"/>
      <c r="J1495" s="177"/>
    </row>
    <row r="1496" spans="1:10">
      <c r="B1496" s="175"/>
      <c r="C1496" s="184"/>
      <c r="D1496" s="177"/>
      <c r="E1496" s="26"/>
      <c r="F1496" s="184"/>
      <c r="G1496" s="177"/>
      <c r="H1496" s="177"/>
      <c r="I1496" s="175"/>
      <c r="J1496" s="177"/>
    </row>
    <row r="1497" spans="1:10">
      <c r="B1497" s="175"/>
      <c r="C1497" s="184"/>
      <c r="D1497" s="177"/>
      <c r="E1497" s="26"/>
      <c r="F1497" s="184"/>
      <c r="G1497" s="177"/>
      <c r="H1497" s="177"/>
      <c r="I1497" s="175"/>
      <c r="J1497" s="177"/>
    </row>
    <row r="1498" spans="1:10">
      <c r="B1498" s="175"/>
      <c r="C1498" s="184"/>
      <c r="D1498" s="177"/>
      <c r="E1498" s="26"/>
      <c r="F1498" s="184"/>
      <c r="G1498" s="177"/>
      <c r="H1498" s="177"/>
      <c r="I1498" s="175"/>
      <c r="J1498" s="177"/>
    </row>
    <row r="1499" spans="1:10">
      <c r="B1499" s="175"/>
      <c r="C1499" s="184"/>
      <c r="D1499" s="177"/>
      <c r="E1499" s="26"/>
      <c r="F1499" s="184"/>
      <c r="G1499" s="177"/>
      <c r="H1499" s="177"/>
      <c r="I1499" s="175"/>
      <c r="J1499" s="177"/>
    </row>
    <row r="1500" spans="1:10">
      <c r="B1500" s="175"/>
      <c r="C1500" s="184"/>
      <c r="D1500" s="177"/>
      <c r="E1500" s="26"/>
      <c r="F1500" s="184"/>
      <c r="G1500" s="177"/>
      <c r="H1500" s="177"/>
      <c r="I1500" s="175"/>
      <c r="J1500" s="177"/>
    </row>
    <row r="1501" spans="1:10">
      <c r="B1501" s="175"/>
      <c r="C1501" s="184"/>
      <c r="D1501" s="177"/>
      <c r="E1501" s="26"/>
      <c r="F1501" s="184"/>
      <c r="G1501" s="177"/>
      <c r="H1501" s="177"/>
      <c r="I1501" s="175"/>
      <c r="J1501" s="177"/>
    </row>
    <row r="1502" spans="1:10">
      <c r="I1502" s="175"/>
      <c r="J1502" s="177"/>
    </row>
  </sheetData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8" r:id="rId4" name="CommandButton6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0</xdr:rowOff>
              </from>
              <to>
                <xdr:col>0</xdr:col>
                <xdr:colOff>1076325</xdr:colOff>
                <xdr:row>0</xdr:row>
                <xdr:rowOff>409575</xdr:rowOff>
              </to>
            </anchor>
          </controlPr>
        </control>
      </mc:Choice>
      <mc:Fallback>
        <control shapeId="3088" r:id="rId4" name="CommandButton6"/>
      </mc:Fallback>
    </mc:AlternateContent>
    <mc:AlternateContent xmlns:mc="http://schemas.openxmlformats.org/markup-compatibility/2006">
      <mc:Choice Requires="x14">
        <control shapeId="3085" r:id="rId6" name="CommandButton9">
          <controlPr defaultSize="0" autoLine="0" r:id="rId7">
            <anchor moveWithCells="1">
              <from>
                <xdr:col>10</xdr:col>
                <xdr:colOff>57150</xdr:colOff>
                <xdr:row>0</xdr:row>
                <xdr:rowOff>0</xdr:rowOff>
              </from>
              <to>
                <xdr:col>10</xdr:col>
                <xdr:colOff>685800</xdr:colOff>
                <xdr:row>0</xdr:row>
                <xdr:rowOff>409575</xdr:rowOff>
              </to>
            </anchor>
          </controlPr>
        </control>
      </mc:Choice>
      <mc:Fallback>
        <control shapeId="3085" r:id="rId6" name="CommandButton9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</xdr:col>
                <xdr:colOff>19050</xdr:colOff>
                <xdr:row>0</xdr:row>
                <xdr:rowOff>0</xdr:rowOff>
              </from>
              <to>
                <xdr:col>2</xdr:col>
                <xdr:colOff>876300</xdr:colOff>
                <xdr:row>0</xdr:row>
                <xdr:rowOff>409575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7" r:id="rId10" name="CommandButton4">
          <controlPr defaultSize="0" autoLine="0" r:id="rId11">
            <anchor moveWithCells="1">
              <from>
                <xdr:col>6</xdr:col>
                <xdr:colOff>38100</xdr:colOff>
                <xdr:row>0</xdr:row>
                <xdr:rowOff>0</xdr:rowOff>
              </from>
              <to>
                <xdr:col>6</xdr:col>
                <xdr:colOff>1162050</xdr:colOff>
                <xdr:row>0</xdr:row>
                <xdr:rowOff>409575</xdr:rowOff>
              </to>
            </anchor>
          </controlPr>
        </control>
      </mc:Choice>
      <mc:Fallback>
        <control shapeId="3077" r:id="rId10" name="CommandButton4"/>
      </mc:Fallback>
    </mc:AlternateContent>
    <mc:AlternateContent xmlns:mc="http://schemas.openxmlformats.org/markup-compatibility/2006">
      <mc:Choice Requires="x14">
        <control shapeId="3079" r:id="rId12" name="CommandButton5">
          <controlPr defaultSize="0" autoLine="0" autoPict="0" r:id="rId13">
            <anchor moveWithCells="1">
              <from>
                <xdr:col>7</xdr:col>
                <xdr:colOff>28575</xdr:colOff>
                <xdr:row>0</xdr:row>
                <xdr:rowOff>0</xdr:rowOff>
              </from>
              <to>
                <xdr:col>7</xdr:col>
                <xdr:colOff>1524000</xdr:colOff>
                <xdr:row>0</xdr:row>
                <xdr:rowOff>409575</xdr:rowOff>
              </to>
            </anchor>
          </controlPr>
        </control>
      </mc:Choice>
      <mc:Fallback>
        <control shapeId="3079" r:id="rId12" name="CommandButton5"/>
      </mc:Fallback>
    </mc:AlternateContent>
    <mc:AlternateContent xmlns:mc="http://schemas.openxmlformats.org/markup-compatibility/2006">
      <mc:Choice Requires="x14">
        <control shapeId="3080" r:id="rId14" name="CommandButton1">
          <controlPr defaultSize="0" autoLine="0" r:id="rId15">
            <anchor moveWithCells="1">
              <from>
                <xdr:col>11</xdr:col>
                <xdr:colOff>47625</xdr:colOff>
                <xdr:row>0</xdr:row>
                <xdr:rowOff>0</xdr:rowOff>
              </from>
              <to>
                <xdr:col>11</xdr:col>
                <xdr:colOff>676275</xdr:colOff>
                <xdr:row>0</xdr:row>
                <xdr:rowOff>409575</xdr:rowOff>
              </to>
            </anchor>
          </controlPr>
        </control>
      </mc:Choice>
      <mc:Fallback>
        <control shapeId="3080" r:id="rId14" name="CommandButton1"/>
      </mc:Fallback>
    </mc:AlternateContent>
    <mc:AlternateContent xmlns:mc="http://schemas.openxmlformats.org/markup-compatibility/2006">
      <mc:Choice Requires="x14">
        <control shapeId="3086" r:id="rId16" name="CommandButton10">
          <controlPr defaultSize="0" autoLine="0" r:id="rId17">
            <anchor moveWithCells="1">
              <from>
                <xdr:col>12</xdr:col>
                <xdr:colOff>38100</xdr:colOff>
                <xdr:row>0</xdr:row>
                <xdr:rowOff>0</xdr:rowOff>
              </from>
              <to>
                <xdr:col>12</xdr:col>
                <xdr:colOff>676275</xdr:colOff>
                <xdr:row>0</xdr:row>
                <xdr:rowOff>409575</xdr:rowOff>
              </to>
            </anchor>
          </controlPr>
        </control>
      </mc:Choice>
      <mc:Fallback>
        <control shapeId="3086" r:id="rId16" name="CommandButton10"/>
      </mc:Fallback>
    </mc:AlternateContent>
    <mc:AlternateContent xmlns:mc="http://schemas.openxmlformats.org/markup-compatibility/2006">
      <mc:Choice Requires="x14">
        <control shapeId="3087" r:id="rId18" name="CommandButton2">
          <controlPr defaultSize="0" autoLine="0" autoPict="0" r:id="rId19">
            <anchor moveWithCells="1">
              <from>
                <xdr:col>8</xdr:col>
                <xdr:colOff>28575</xdr:colOff>
                <xdr:row>0</xdr:row>
                <xdr:rowOff>0</xdr:rowOff>
              </from>
              <to>
                <xdr:col>8</xdr:col>
                <xdr:colOff>838200</xdr:colOff>
                <xdr:row>0</xdr:row>
                <xdr:rowOff>409575</xdr:rowOff>
              </to>
            </anchor>
          </controlPr>
        </control>
      </mc:Choice>
      <mc:Fallback>
        <control shapeId="3087" r:id="rId18" name="CommandButton2"/>
      </mc:Fallback>
    </mc:AlternateContent>
    <mc:AlternateContent xmlns:mc="http://schemas.openxmlformats.org/markup-compatibility/2006">
      <mc:Choice Requires="x14">
        <control shapeId="3089" r:id="rId20" name="CommandButton7">
          <controlPr defaultSize="0" autoLine="0" autoPict="0" r:id="rId21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4</xdr:col>
                <xdr:colOff>885825</xdr:colOff>
                <xdr:row>0</xdr:row>
                <xdr:rowOff>409575</xdr:rowOff>
              </to>
            </anchor>
          </controlPr>
        </control>
      </mc:Choice>
      <mc:Fallback>
        <control shapeId="3089" r:id="rId20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1586"/>
  <sheetViews>
    <sheetView workbookViewId="0">
      <pane xSplit="1" ySplit="1" topLeftCell="B602" activePane="bottomRight" state="frozen"/>
      <selection pane="topRight" activeCell="H1" sqref="H1"/>
      <selection pane="bottomLeft" activeCell="A2" sqref="A2"/>
      <selection pane="bottomRight" activeCell="F627" sqref="F627"/>
    </sheetView>
  </sheetViews>
  <sheetFormatPr defaultRowHeight="16.5"/>
  <cols>
    <col min="3" max="3" width="9.5" bestFit="1" customWidth="1"/>
    <col min="4" max="4" width="10.5" bestFit="1" customWidth="1"/>
    <col min="5" max="5" width="9.25" bestFit="1" customWidth="1"/>
  </cols>
  <sheetData>
    <row r="1" spans="1:6">
      <c r="A1" t="s">
        <v>260</v>
      </c>
      <c r="B1" t="s">
        <v>261</v>
      </c>
      <c r="C1" s="89">
        <v>42240</v>
      </c>
      <c r="D1" s="89">
        <v>42319</v>
      </c>
      <c r="E1" t="s">
        <v>1871</v>
      </c>
      <c r="F1" t="s">
        <v>1901</v>
      </c>
    </row>
    <row r="2" spans="1:6">
      <c r="A2">
        <v>1101</v>
      </c>
      <c r="B2" t="s">
        <v>550</v>
      </c>
      <c r="C2">
        <v>32</v>
      </c>
      <c r="D2">
        <f>VLOOKUP(A2,收盤價!A:C,3,0)</f>
        <v>34.5</v>
      </c>
      <c r="E2" s="188">
        <v>7.8125E-2</v>
      </c>
      <c r="F2">
        <v>24.18</v>
      </c>
    </row>
    <row r="3" spans="1:6">
      <c r="A3">
        <v>1102</v>
      </c>
      <c r="B3" t="s">
        <v>551</v>
      </c>
      <c r="C3">
        <v>32.299999999999997</v>
      </c>
      <c r="D3">
        <f>VLOOKUP(A3,收盤價!A:C,3,0)</f>
        <v>32.75</v>
      </c>
      <c r="E3" s="188">
        <v>1.3931888544891731E-2</v>
      </c>
      <c r="F3">
        <v>14.14</v>
      </c>
    </row>
    <row r="4" spans="1:6">
      <c r="A4">
        <v>1103</v>
      </c>
      <c r="B4" t="s">
        <v>552</v>
      </c>
      <c r="C4">
        <v>8.83</v>
      </c>
      <c r="D4">
        <f>VLOOKUP(A4,收盤價!A:C,3,0)</f>
        <v>10.35</v>
      </c>
      <c r="E4" s="188">
        <v>0.17214043035107582</v>
      </c>
      <c r="F4">
        <v>46.02</v>
      </c>
    </row>
    <row r="5" spans="1:6">
      <c r="A5">
        <v>1104</v>
      </c>
      <c r="B5" t="s">
        <v>553</v>
      </c>
      <c r="C5">
        <v>19.899999999999999</v>
      </c>
      <c r="D5">
        <f>VLOOKUP(A5,收盤價!A:C,3,0)</f>
        <v>23.1</v>
      </c>
      <c r="E5" s="188">
        <v>0.16080402010050265</v>
      </c>
      <c r="F5">
        <v>43.81</v>
      </c>
    </row>
    <row r="6" spans="1:6">
      <c r="A6">
        <v>1108</v>
      </c>
      <c r="B6" t="s">
        <v>554</v>
      </c>
      <c r="C6">
        <v>9.43</v>
      </c>
      <c r="D6">
        <f>VLOOKUP(A6,收盤價!A:C,3,0)</f>
        <v>10.1</v>
      </c>
      <c r="E6" s="188">
        <v>7.104984093319193E-2</v>
      </c>
      <c r="F6">
        <v>22.41</v>
      </c>
    </row>
    <row r="7" spans="1:6">
      <c r="A7">
        <v>1109</v>
      </c>
      <c r="B7" t="s">
        <v>1857</v>
      </c>
      <c r="C7">
        <v>9.9</v>
      </c>
      <c r="D7">
        <f>VLOOKUP(A7,收盤價!A:C,3,0)</f>
        <v>10.1</v>
      </c>
      <c r="E7" s="188">
        <v>2.0202020202020131E-2</v>
      </c>
      <c r="F7">
        <v>14.9</v>
      </c>
    </row>
    <row r="8" spans="1:6">
      <c r="A8">
        <v>1110</v>
      </c>
      <c r="B8" t="s">
        <v>555</v>
      </c>
      <c r="C8">
        <v>13.4</v>
      </c>
      <c r="D8">
        <f>VLOOKUP(A8,收盤價!A:C,3,0)</f>
        <v>15.25</v>
      </c>
      <c r="E8" s="188">
        <v>0.1380597014925373</v>
      </c>
      <c r="F8">
        <v>38.32</v>
      </c>
    </row>
    <row r="9" spans="1:6">
      <c r="A9">
        <v>1201</v>
      </c>
      <c r="B9" t="s">
        <v>556</v>
      </c>
      <c r="C9">
        <v>18.2</v>
      </c>
      <c r="D9">
        <f>VLOOKUP(A9,收盤價!A:C,3,0)</f>
        <v>19.5</v>
      </c>
      <c r="E9" s="188">
        <v>7.1428571428571466E-2</v>
      </c>
      <c r="F9">
        <v>22.47</v>
      </c>
    </row>
    <row r="10" spans="1:6">
      <c r="A10">
        <v>1203</v>
      </c>
      <c r="B10" t="s">
        <v>557</v>
      </c>
      <c r="C10">
        <v>20.149999999999999</v>
      </c>
      <c r="D10">
        <f>VLOOKUP(A10,收盤價!A:C,3,0)</f>
        <v>21.9</v>
      </c>
      <c r="E10" s="188">
        <v>8.6848635235732011E-2</v>
      </c>
      <c r="F10">
        <v>26.45</v>
      </c>
    </row>
    <row r="11" spans="1:6">
      <c r="A11">
        <v>1210</v>
      </c>
      <c r="B11" t="s">
        <v>558</v>
      </c>
      <c r="C11">
        <v>16.649999999999999</v>
      </c>
      <c r="D11">
        <f>VLOOKUP(A11,收盤價!A:C,3,0)</f>
        <v>19.100000000000001</v>
      </c>
      <c r="E11" s="188">
        <v>0.14714714714714733</v>
      </c>
      <c r="F11">
        <v>40.340000000000003</v>
      </c>
    </row>
    <row r="12" spans="1:6">
      <c r="A12">
        <v>1213</v>
      </c>
      <c r="B12" t="s">
        <v>559</v>
      </c>
      <c r="C12">
        <v>13.2</v>
      </c>
      <c r="D12">
        <f>VLOOKUP(A12,收盤價!A:C,3,0)</f>
        <v>15.8</v>
      </c>
      <c r="E12" s="188">
        <v>0.1969696969696971</v>
      </c>
      <c r="F12">
        <v>52.21</v>
      </c>
    </row>
    <row r="13" spans="1:6">
      <c r="A13">
        <v>1215</v>
      </c>
      <c r="B13" t="s">
        <v>560</v>
      </c>
      <c r="C13">
        <v>18</v>
      </c>
      <c r="D13">
        <f>VLOOKUP(A13,收盤價!A:C,3,0)</f>
        <v>21.3</v>
      </c>
      <c r="E13" s="188">
        <v>0.18333333333333338</v>
      </c>
      <c r="F13">
        <v>49.05</v>
      </c>
    </row>
    <row r="14" spans="1:6">
      <c r="A14">
        <v>1216</v>
      </c>
      <c r="B14" t="s">
        <v>561</v>
      </c>
      <c r="C14">
        <v>55.2</v>
      </c>
      <c r="D14">
        <f>VLOOKUP(A14,收盤價!A:C,3,0)</f>
        <v>54.5</v>
      </c>
      <c r="E14" s="188">
        <v>-1.2681159420289906E-2</v>
      </c>
      <c r="F14">
        <v>10.8</v>
      </c>
    </row>
    <row r="15" spans="1:6">
      <c r="A15">
        <v>1217</v>
      </c>
      <c r="B15" t="s">
        <v>562</v>
      </c>
      <c r="C15">
        <v>6.33</v>
      </c>
      <c r="D15">
        <f>VLOOKUP(A15,收盤價!A:C,3,0)</f>
        <v>6.63</v>
      </c>
      <c r="E15" s="188">
        <v>4.7393364928909922E-2</v>
      </c>
      <c r="F15">
        <v>18.62</v>
      </c>
    </row>
    <row r="16" spans="1:6">
      <c r="A16">
        <v>1218</v>
      </c>
      <c r="B16" t="s">
        <v>563</v>
      </c>
      <c r="C16">
        <v>9.77</v>
      </c>
      <c r="D16">
        <f>VLOOKUP(A16,收盤價!A:C,3,0)</f>
        <v>10.35</v>
      </c>
      <c r="E16" s="188">
        <v>5.9365404298874117E-2</v>
      </c>
      <c r="F16">
        <v>20.9</v>
      </c>
    </row>
    <row r="17" spans="1:6">
      <c r="A17">
        <v>1219</v>
      </c>
      <c r="B17" t="s">
        <v>564</v>
      </c>
      <c r="C17">
        <v>14.3</v>
      </c>
      <c r="D17">
        <f>VLOOKUP(A17,收盤價!A:C,3,0)</f>
        <v>14.75</v>
      </c>
      <c r="E17" s="188">
        <v>3.1468531468531416E-2</v>
      </c>
      <c r="F17">
        <v>16.29</v>
      </c>
    </row>
    <row r="18" spans="1:6">
      <c r="A18">
        <v>1220</v>
      </c>
      <c r="B18" t="s">
        <v>565</v>
      </c>
      <c r="C18">
        <v>10</v>
      </c>
      <c r="D18">
        <f>VLOOKUP(A18,收盤價!A:C,3,0)</f>
        <v>10.1</v>
      </c>
      <c r="E18" s="188">
        <v>9.9999999999999638E-3</v>
      </c>
      <c r="F18">
        <v>13.7</v>
      </c>
    </row>
    <row r="19" spans="1:6">
      <c r="A19">
        <v>1225</v>
      </c>
      <c r="B19" t="s">
        <v>566</v>
      </c>
      <c r="C19">
        <v>20.2</v>
      </c>
      <c r="D19">
        <f>VLOOKUP(A19,收盤價!A:C,3,0)</f>
        <v>24.8</v>
      </c>
      <c r="E19" s="188">
        <v>0.22772277227722781</v>
      </c>
      <c r="F19">
        <v>59.03</v>
      </c>
    </row>
    <row r="20" spans="1:6">
      <c r="A20">
        <v>1227</v>
      </c>
      <c r="B20" t="s">
        <v>567</v>
      </c>
      <c r="C20">
        <v>66.7</v>
      </c>
      <c r="D20">
        <f>VLOOKUP(A20,收盤價!A:C,3,0)</f>
        <v>74.599999999999994</v>
      </c>
      <c r="E20" s="188">
        <v>0.11844077961019477</v>
      </c>
      <c r="F20">
        <v>33.71</v>
      </c>
    </row>
    <row r="21" spans="1:6">
      <c r="A21">
        <v>1229</v>
      </c>
      <c r="B21" t="s">
        <v>568</v>
      </c>
      <c r="C21">
        <v>19.600000000000001</v>
      </c>
      <c r="D21">
        <f>VLOOKUP(A21,收盤價!A:C,3,0)</f>
        <v>19.3</v>
      </c>
      <c r="E21" s="188">
        <v>-1.5306122448979626E-2</v>
      </c>
      <c r="F21">
        <v>10.48</v>
      </c>
    </row>
    <row r="22" spans="1:6">
      <c r="A22">
        <v>1231</v>
      </c>
      <c r="B22" t="s">
        <v>569</v>
      </c>
      <c r="C22">
        <v>24</v>
      </c>
      <c r="D22">
        <f>VLOOKUP(A22,收盤價!A:C,3,0)</f>
        <v>27.25</v>
      </c>
      <c r="E22" s="188">
        <v>0.13541666666666666</v>
      </c>
      <c r="F22">
        <v>37.880000000000003</v>
      </c>
    </row>
    <row r="23" spans="1:6">
      <c r="A23">
        <v>1232</v>
      </c>
      <c r="B23" t="s">
        <v>570</v>
      </c>
      <c r="C23">
        <v>67.5</v>
      </c>
      <c r="D23">
        <f>VLOOKUP(A23,收盤價!A:C,3,0)</f>
        <v>74.400000000000006</v>
      </c>
      <c r="E23" s="188">
        <v>0.10222222222222231</v>
      </c>
      <c r="F23">
        <v>29.86</v>
      </c>
    </row>
    <row r="24" spans="1:6">
      <c r="A24">
        <v>1233</v>
      </c>
      <c r="B24" t="s">
        <v>571</v>
      </c>
      <c r="C24">
        <v>37</v>
      </c>
      <c r="D24">
        <f>VLOOKUP(A24,收盤價!A:C,3,0)</f>
        <v>38.6</v>
      </c>
      <c r="E24" s="188">
        <v>4.324324324324328E-2</v>
      </c>
      <c r="F24">
        <v>18.059999999999999</v>
      </c>
    </row>
    <row r="25" spans="1:6">
      <c r="A25">
        <v>1234</v>
      </c>
      <c r="B25" t="s">
        <v>572</v>
      </c>
      <c r="C25">
        <v>34.5</v>
      </c>
      <c r="D25">
        <f>VLOOKUP(A25,收盤價!A:C,3,0)</f>
        <v>32.299999999999997</v>
      </c>
      <c r="E25" s="188">
        <v>-6.3768115942029066E-2</v>
      </c>
      <c r="F25">
        <v>7.13</v>
      </c>
    </row>
    <row r="26" spans="1:6">
      <c r="A26">
        <v>1235</v>
      </c>
      <c r="B26" t="s">
        <v>573</v>
      </c>
      <c r="C26">
        <v>17.149999999999999</v>
      </c>
      <c r="D26">
        <f>VLOOKUP(A26,收盤價!A:C,3,0)</f>
        <v>18.2</v>
      </c>
      <c r="E26" s="188">
        <v>6.1224489795918415E-2</v>
      </c>
      <c r="F26">
        <v>21.15</v>
      </c>
    </row>
    <row r="27" spans="1:6">
      <c r="A27">
        <v>1236</v>
      </c>
      <c r="B27" t="s">
        <v>574</v>
      </c>
      <c r="C27">
        <v>20</v>
      </c>
      <c r="D27">
        <f>VLOOKUP(A27,收盤價!A:C,3,0)</f>
        <v>20.85</v>
      </c>
      <c r="E27" s="188">
        <v>4.2500000000000072E-2</v>
      </c>
      <c r="F27">
        <v>17.93</v>
      </c>
    </row>
    <row r="28" spans="1:6">
      <c r="A28">
        <v>1256</v>
      </c>
      <c r="B28" t="s">
        <v>1441</v>
      </c>
      <c r="C28">
        <v>129</v>
      </c>
      <c r="D28">
        <f>VLOOKUP(A28,收盤價!A:C,3,0)</f>
        <v>145</v>
      </c>
      <c r="E28" s="188">
        <v>0.12403100775193798</v>
      </c>
      <c r="F28">
        <v>35.54</v>
      </c>
    </row>
    <row r="29" spans="1:6">
      <c r="A29">
        <v>1258</v>
      </c>
      <c r="B29" t="s">
        <v>1442</v>
      </c>
      <c r="C29">
        <v>33.35</v>
      </c>
      <c r="D29">
        <f>VLOOKUP(A29,收盤價!A:C,3,0)</f>
        <v>40.799999999999997</v>
      </c>
      <c r="E29" s="188">
        <v>0.22338830584707633</v>
      </c>
      <c r="F29">
        <v>58.14</v>
      </c>
    </row>
    <row r="30" spans="1:6">
      <c r="A30">
        <v>1259</v>
      </c>
      <c r="B30" t="s">
        <v>264</v>
      </c>
      <c r="C30">
        <v>58.5</v>
      </c>
      <c r="D30">
        <f>VLOOKUP(A30,收盤價!A:C,3,0)</f>
        <v>62.9</v>
      </c>
      <c r="E30" s="188">
        <v>7.5213675213675196E-2</v>
      </c>
      <c r="F30">
        <v>23.61</v>
      </c>
    </row>
    <row r="31" spans="1:6">
      <c r="A31">
        <v>1262</v>
      </c>
      <c r="B31" t="s">
        <v>575</v>
      </c>
      <c r="C31">
        <v>112.5</v>
      </c>
      <c r="D31">
        <f>VLOOKUP(A31,收盤價!A:C,3,0)</f>
        <v>128</v>
      </c>
      <c r="E31" s="188">
        <v>0.13777777777777778</v>
      </c>
      <c r="F31">
        <v>38.19</v>
      </c>
    </row>
    <row r="32" spans="1:6">
      <c r="A32">
        <v>1264</v>
      </c>
      <c r="B32" t="s">
        <v>265</v>
      </c>
      <c r="C32">
        <v>173</v>
      </c>
      <c r="D32">
        <f>VLOOKUP(A32,收盤價!A:C,3,0)</f>
        <v>187</v>
      </c>
      <c r="E32" s="188">
        <v>8.0924855491329481E-2</v>
      </c>
      <c r="F32">
        <v>24.87</v>
      </c>
    </row>
    <row r="33" spans="1:6">
      <c r="A33">
        <v>1301</v>
      </c>
      <c r="B33" t="s">
        <v>576</v>
      </c>
      <c r="C33">
        <v>62</v>
      </c>
      <c r="D33">
        <f>VLOOKUP(A33,收盤價!A:C,3,0)</f>
        <v>75.2</v>
      </c>
      <c r="E33" s="188">
        <v>0.21290322580645166</v>
      </c>
      <c r="F33">
        <v>56.19</v>
      </c>
    </row>
    <row r="34" spans="1:6">
      <c r="A34">
        <v>1303</v>
      </c>
      <c r="B34" t="s">
        <v>577</v>
      </c>
      <c r="C34">
        <v>53.1</v>
      </c>
      <c r="D34">
        <f>VLOOKUP(A34,收盤價!A:C,3,0)</f>
        <v>61.4</v>
      </c>
      <c r="E34" s="188">
        <v>0.1563088512241054</v>
      </c>
      <c r="F34">
        <v>42.93</v>
      </c>
    </row>
    <row r="35" spans="1:6">
      <c r="A35">
        <v>1304</v>
      </c>
      <c r="B35" t="s">
        <v>578</v>
      </c>
      <c r="C35">
        <v>10.9</v>
      </c>
      <c r="D35">
        <f>VLOOKUP(A35,收盤價!A:C,3,0)</f>
        <v>13.6</v>
      </c>
      <c r="E35" s="188">
        <v>0.24770642201834855</v>
      </c>
      <c r="F35">
        <v>62.75</v>
      </c>
    </row>
    <row r="36" spans="1:6">
      <c r="A36">
        <v>1305</v>
      </c>
      <c r="B36" t="s">
        <v>579</v>
      </c>
      <c r="C36">
        <v>10.95</v>
      </c>
      <c r="D36">
        <f>VLOOKUP(A36,收盤價!A:C,3,0)</f>
        <v>16</v>
      </c>
      <c r="E36" s="188">
        <v>0.46118721461187223</v>
      </c>
      <c r="F36">
        <v>88.83</v>
      </c>
    </row>
    <row r="37" spans="1:6">
      <c r="A37">
        <v>1307</v>
      </c>
      <c r="B37" t="s">
        <v>580</v>
      </c>
      <c r="C37">
        <v>32.200000000000003</v>
      </c>
      <c r="D37">
        <f>VLOOKUP(A37,收盤價!A:C,3,0)</f>
        <v>38.799999999999997</v>
      </c>
      <c r="E37" s="188">
        <v>0.20496894409937869</v>
      </c>
      <c r="F37">
        <v>54.04</v>
      </c>
    </row>
    <row r="38" spans="1:6">
      <c r="A38">
        <v>1308</v>
      </c>
      <c r="B38" t="s">
        <v>581</v>
      </c>
      <c r="C38">
        <v>14.65</v>
      </c>
      <c r="D38">
        <f>VLOOKUP(A38,收盤價!A:C,3,0)</f>
        <v>18.649999999999999</v>
      </c>
      <c r="E38" s="188">
        <v>0.27303754266211594</v>
      </c>
      <c r="F38">
        <v>67.11</v>
      </c>
    </row>
    <row r="39" spans="1:6">
      <c r="A39">
        <v>1309</v>
      </c>
      <c r="B39" t="s">
        <v>582</v>
      </c>
      <c r="C39">
        <v>8.1199999999999992</v>
      </c>
      <c r="D39">
        <f>VLOOKUP(A39,收盤價!A:C,3,0)</f>
        <v>8.7200000000000006</v>
      </c>
      <c r="E39" s="188">
        <v>7.3891625615763734E-2</v>
      </c>
      <c r="F39">
        <v>23.3</v>
      </c>
    </row>
    <row r="40" spans="1:6">
      <c r="A40">
        <v>1310</v>
      </c>
      <c r="B40" t="s">
        <v>583</v>
      </c>
      <c r="C40">
        <v>11.3</v>
      </c>
      <c r="D40">
        <f>VLOOKUP(A40,收盤價!A:C,3,0)</f>
        <v>13.95</v>
      </c>
      <c r="E40" s="188">
        <v>0.23451327433628305</v>
      </c>
      <c r="F40">
        <v>60.42</v>
      </c>
    </row>
    <row r="41" spans="1:6">
      <c r="A41">
        <v>1312</v>
      </c>
      <c r="B41" t="s">
        <v>584</v>
      </c>
      <c r="C41">
        <v>14.35</v>
      </c>
      <c r="D41">
        <f>VLOOKUP(A41,收盤價!A:C,3,0)</f>
        <v>15.55</v>
      </c>
      <c r="E41" s="188">
        <v>8.3623693379791017E-2</v>
      </c>
      <c r="F41">
        <v>25.82</v>
      </c>
    </row>
    <row r="42" spans="1:6">
      <c r="A42">
        <v>1313</v>
      </c>
      <c r="B42" t="s">
        <v>586</v>
      </c>
      <c r="C42">
        <v>8.4</v>
      </c>
      <c r="D42">
        <f>VLOOKUP(A42,收盤價!A:C,3,0)</f>
        <v>9.02</v>
      </c>
      <c r="E42" s="188">
        <v>7.3809523809523714E-2</v>
      </c>
      <c r="F42">
        <v>23.17</v>
      </c>
    </row>
    <row r="43" spans="1:6">
      <c r="A43">
        <v>1314</v>
      </c>
      <c r="B43" t="s">
        <v>587</v>
      </c>
      <c r="C43">
        <v>6.97</v>
      </c>
      <c r="D43">
        <f>VLOOKUP(A43,收盤價!A:C,3,0)</f>
        <v>8.25</v>
      </c>
      <c r="E43" s="188">
        <v>0.18364418938307034</v>
      </c>
      <c r="F43">
        <v>49.24</v>
      </c>
    </row>
    <row r="44" spans="1:6">
      <c r="A44">
        <v>1315</v>
      </c>
      <c r="B44" t="s">
        <v>588</v>
      </c>
      <c r="C44">
        <v>21.4</v>
      </c>
      <c r="D44">
        <f>VLOOKUP(A44,收盤價!A:C,3,0)</f>
        <v>23.7</v>
      </c>
      <c r="E44" s="188">
        <v>0.10747663551401873</v>
      </c>
      <c r="F44">
        <v>31.06</v>
      </c>
    </row>
    <row r="45" spans="1:6">
      <c r="A45">
        <v>1316</v>
      </c>
      <c r="B45" t="s">
        <v>589</v>
      </c>
      <c r="C45">
        <v>9.5</v>
      </c>
      <c r="D45">
        <f>VLOOKUP(A45,收盤價!A:C,3,0)</f>
        <v>10</v>
      </c>
      <c r="E45" s="188">
        <v>5.2631578947368418E-2</v>
      </c>
      <c r="F45">
        <v>19.63</v>
      </c>
    </row>
    <row r="46" spans="1:6">
      <c r="A46">
        <v>1319</v>
      </c>
      <c r="B46" t="s">
        <v>590</v>
      </c>
      <c r="C46">
        <v>25.7</v>
      </c>
      <c r="D46">
        <f>VLOOKUP(A46,收盤價!A:C,3,0)</f>
        <v>36.1</v>
      </c>
      <c r="E46" s="188">
        <v>0.40466926070038922</v>
      </c>
      <c r="F46">
        <v>84.41</v>
      </c>
    </row>
    <row r="47" spans="1:6">
      <c r="A47">
        <v>1321</v>
      </c>
      <c r="B47" t="s">
        <v>591</v>
      </c>
      <c r="C47">
        <v>22.9</v>
      </c>
      <c r="D47">
        <f>VLOOKUP(A47,收盤價!A:C,3,0)</f>
        <v>28.5</v>
      </c>
      <c r="E47" s="188">
        <v>0.24454148471615728</v>
      </c>
      <c r="F47">
        <v>62.31</v>
      </c>
    </row>
    <row r="48" spans="1:6">
      <c r="A48">
        <v>1323</v>
      </c>
      <c r="B48" t="s">
        <v>592</v>
      </c>
      <c r="C48">
        <v>21.45</v>
      </c>
      <c r="D48">
        <f>VLOOKUP(A48,收盤價!A:C,3,0)</f>
        <v>26.2</v>
      </c>
      <c r="E48" s="188">
        <v>0.22144522144522144</v>
      </c>
      <c r="F48">
        <v>57.83</v>
      </c>
    </row>
    <row r="49" spans="1:6">
      <c r="A49">
        <v>1324</v>
      </c>
      <c r="B49" t="s">
        <v>593</v>
      </c>
      <c r="C49">
        <v>9.75</v>
      </c>
      <c r="D49">
        <f>VLOOKUP(A49,收盤價!A:C,3,0)</f>
        <v>10.95</v>
      </c>
      <c r="E49" s="188">
        <v>0.123076923076923</v>
      </c>
      <c r="F49">
        <v>35.1</v>
      </c>
    </row>
    <row r="50" spans="1:6">
      <c r="A50">
        <v>1325</v>
      </c>
      <c r="B50" t="s">
        <v>594</v>
      </c>
      <c r="C50">
        <v>19.649999999999999</v>
      </c>
      <c r="D50">
        <f>VLOOKUP(A50,收盤價!A:C,3,0)</f>
        <v>20.350000000000001</v>
      </c>
      <c r="E50" s="188">
        <v>3.5623409669211341E-2</v>
      </c>
      <c r="F50">
        <v>16.920000000000002</v>
      </c>
    </row>
    <row r="51" spans="1:6">
      <c r="A51">
        <v>1326</v>
      </c>
      <c r="B51" t="s">
        <v>595</v>
      </c>
      <c r="C51">
        <v>62.1</v>
      </c>
      <c r="D51">
        <f>VLOOKUP(A51,收盤價!A:C,3,0)</f>
        <v>71.8</v>
      </c>
      <c r="E51" s="188">
        <v>0.15619967793880829</v>
      </c>
      <c r="F51">
        <v>42.87</v>
      </c>
    </row>
    <row r="52" spans="1:6">
      <c r="A52">
        <v>1333</v>
      </c>
      <c r="B52" t="s">
        <v>266</v>
      </c>
      <c r="C52">
        <v>4.58</v>
      </c>
      <c r="D52">
        <f>VLOOKUP(A52,收盤價!A:C,3,0)</f>
        <v>6.59</v>
      </c>
      <c r="E52" s="188">
        <v>0.43886462882096067</v>
      </c>
      <c r="F52">
        <v>87.25</v>
      </c>
    </row>
    <row r="53" spans="1:6">
      <c r="A53">
        <v>1336</v>
      </c>
      <c r="B53" t="s">
        <v>267</v>
      </c>
      <c r="C53">
        <v>6.57</v>
      </c>
      <c r="D53">
        <f>VLOOKUP(A53,收盤價!A:C,3,0)</f>
        <v>8.3699999999999992</v>
      </c>
      <c r="E53" s="188">
        <v>0.27397260273972585</v>
      </c>
      <c r="F53">
        <v>67.42</v>
      </c>
    </row>
    <row r="54" spans="1:6">
      <c r="A54">
        <v>1337</v>
      </c>
      <c r="B54" t="s">
        <v>596</v>
      </c>
      <c r="C54">
        <v>10.75</v>
      </c>
      <c r="D54">
        <f>VLOOKUP(A54,收盤價!A:C,3,0)</f>
        <v>22.05</v>
      </c>
      <c r="E54" s="188">
        <v>1.0511627906976744</v>
      </c>
      <c r="F54">
        <v>98.86</v>
      </c>
    </row>
    <row r="55" spans="1:6">
      <c r="A55">
        <v>1338</v>
      </c>
      <c r="B55" t="s">
        <v>597</v>
      </c>
      <c r="C55">
        <v>71.2</v>
      </c>
      <c r="D55">
        <f>VLOOKUP(A55,收盤價!A:C,3,0)</f>
        <v>122</v>
      </c>
      <c r="E55" s="188">
        <v>0.7134831460674157</v>
      </c>
      <c r="F55">
        <v>96.53</v>
      </c>
    </row>
    <row r="56" spans="1:6">
      <c r="A56">
        <v>1339</v>
      </c>
      <c r="B56" t="s">
        <v>598</v>
      </c>
      <c r="C56">
        <v>85</v>
      </c>
      <c r="D56">
        <f>VLOOKUP(A56,收盤價!A:C,3,0)</f>
        <v>68</v>
      </c>
      <c r="E56" s="188">
        <v>-0.2</v>
      </c>
      <c r="F56">
        <v>3.72</v>
      </c>
    </row>
    <row r="57" spans="1:6">
      <c r="A57">
        <v>1340</v>
      </c>
      <c r="B57" t="s">
        <v>599</v>
      </c>
      <c r="C57">
        <v>51.2</v>
      </c>
      <c r="D57">
        <f>VLOOKUP(A57,收盤價!A:C,3,0)</f>
        <v>74</v>
      </c>
      <c r="E57" s="188">
        <v>0.44531249999999994</v>
      </c>
      <c r="F57">
        <v>87.82</v>
      </c>
    </row>
    <row r="58" spans="1:6">
      <c r="A58">
        <v>1402</v>
      </c>
      <c r="B58" t="s">
        <v>600</v>
      </c>
      <c r="C58">
        <v>25.65</v>
      </c>
      <c r="D58">
        <f>VLOOKUP(A58,收盤價!A:C,3,0)</f>
        <v>28.45</v>
      </c>
      <c r="E58" s="188">
        <v>0.10916179337231972</v>
      </c>
      <c r="F58">
        <v>31.38</v>
      </c>
    </row>
    <row r="59" spans="1:6">
      <c r="A59">
        <v>1409</v>
      </c>
      <c r="B59" t="s">
        <v>601</v>
      </c>
      <c r="C59">
        <v>7.47</v>
      </c>
      <c r="D59">
        <f>VLOOKUP(A59,收盤價!A:C,3,0)</f>
        <v>8.77</v>
      </c>
      <c r="E59" s="188">
        <v>0.17402945113788484</v>
      </c>
      <c r="F59">
        <v>46.53</v>
      </c>
    </row>
    <row r="60" spans="1:6">
      <c r="A60">
        <v>1410</v>
      </c>
      <c r="B60" t="s">
        <v>602</v>
      </c>
      <c r="C60">
        <v>21.05</v>
      </c>
      <c r="D60">
        <f>VLOOKUP(A60,收盤價!A:C,3,0)</f>
        <v>23.7</v>
      </c>
      <c r="E60" s="188">
        <v>0.12589073634204268</v>
      </c>
      <c r="F60">
        <v>35.86</v>
      </c>
    </row>
    <row r="61" spans="1:6">
      <c r="A61">
        <v>1413</v>
      </c>
      <c r="B61" t="s">
        <v>603</v>
      </c>
      <c r="C61">
        <v>7.01</v>
      </c>
      <c r="D61">
        <f>VLOOKUP(A61,收盤價!A:C,3,0)</f>
        <v>8.52</v>
      </c>
      <c r="E61" s="188">
        <v>0.21540656205420824</v>
      </c>
      <c r="F61">
        <v>56.69</v>
      </c>
    </row>
    <row r="62" spans="1:6">
      <c r="A62">
        <v>1414</v>
      </c>
      <c r="B62" t="s">
        <v>604</v>
      </c>
      <c r="C62">
        <v>6.15</v>
      </c>
      <c r="D62">
        <f>VLOOKUP(A62,收盤價!A:C,3,0)</f>
        <v>6.76</v>
      </c>
      <c r="E62" s="188">
        <v>9.9186991869918598E-2</v>
      </c>
      <c r="F62">
        <v>29.42</v>
      </c>
    </row>
    <row r="63" spans="1:6">
      <c r="A63">
        <v>1416</v>
      </c>
      <c r="B63" t="s">
        <v>605</v>
      </c>
      <c r="C63">
        <v>14.5</v>
      </c>
      <c r="D63">
        <f>VLOOKUP(A63,收盤價!A:C,3,0)</f>
        <v>18.100000000000001</v>
      </c>
      <c r="E63" s="188">
        <v>0.24827586206896562</v>
      </c>
      <c r="F63">
        <v>62.82</v>
      </c>
    </row>
    <row r="64" spans="1:6">
      <c r="A64">
        <v>1417</v>
      </c>
      <c r="B64" t="s">
        <v>606</v>
      </c>
      <c r="C64">
        <v>5.67</v>
      </c>
      <c r="D64">
        <f>VLOOKUP(A64,收盤價!A:C,3,0)</f>
        <v>5.67</v>
      </c>
      <c r="E64" s="188">
        <v>0</v>
      </c>
      <c r="F64">
        <v>11.99</v>
      </c>
    </row>
    <row r="65" spans="1:6">
      <c r="A65">
        <v>1418</v>
      </c>
      <c r="B65" t="s">
        <v>607</v>
      </c>
      <c r="C65">
        <v>3.63</v>
      </c>
      <c r="D65" t="str">
        <f>VLOOKUP(A65,收盤價!A:C,3,0)</f>
        <v>--</v>
      </c>
      <c r="F65">
        <v>2.02</v>
      </c>
    </row>
    <row r="66" spans="1:6">
      <c r="A66">
        <v>1419</v>
      </c>
      <c r="B66" t="s">
        <v>608</v>
      </c>
      <c r="C66">
        <v>37.4</v>
      </c>
      <c r="D66">
        <f>VLOOKUP(A66,收盤價!A:C,3,0)</f>
        <v>38.5</v>
      </c>
      <c r="E66" s="188">
        <v>2.9411764705882391E-2</v>
      </c>
      <c r="F66">
        <v>16.100000000000001</v>
      </c>
    </row>
    <row r="67" spans="1:6">
      <c r="A67">
        <v>1423</v>
      </c>
      <c r="B67" t="s">
        <v>609</v>
      </c>
      <c r="C67">
        <v>6.4</v>
      </c>
      <c r="D67">
        <f>VLOOKUP(A67,收盤價!A:C,3,0)</f>
        <v>7.17</v>
      </c>
      <c r="E67" s="188">
        <v>0.12031249999999993</v>
      </c>
      <c r="F67">
        <v>34.15</v>
      </c>
    </row>
    <row r="68" spans="1:6">
      <c r="A68">
        <v>1432</v>
      </c>
      <c r="B68" t="s">
        <v>610</v>
      </c>
      <c r="C68">
        <v>15.4</v>
      </c>
      <c r="D68">
        <f>VLOOKUP(A68,收盤價!A:C,3,0)</f>
        <v>20</v>
      </c>
      <c r="E68" s="188">
        <v>0.29870129870129869</v>
      </c>
      <c r="F68">
        <v>71.59</v>
      </c>
    </row>
    <row r="69" spans="1:6">
      <c r="A69">
        <v>1434</v>
      </c>
      <c r="B69" t="s">
        <v>611</v>
      </c>
      <c r="C69">
        <v>26.5</v>
      </c>
      <c r="D69">
        <f>VLOOKUP(A69,收盤價!A:C,3,0)</f>
        <v>32.450000000000003</v>
      </c>
      <c r="E69" s="188">
        <v>0.22452830188679257</v>
      </c>
      <c r="F69">
        <v>58.46</v>
      </c>
    </row>
    <row r="70" spans="1:6">
      <c r="A70">
        <v>1435</v>
      </c>
      <c r="B70" t="s">
        <v>612</v>
      </c>
      <c r="C70">
        <v>4.4000000000000004</v>
      </c>
      <c r="D70">
        <f>VLOOKUP(A70,收盤價!A:C,3,0)</f>
        <v>4.97</v>
      </c>
      <c r="E70" s="188">
        <v>0.12954545454545441</v>
      </c>
      <c r="F70">
        <v>36.68</v>
      </c>
    </row>
    <row r="71" spans="1:6">
      <c r="A71">
        <v>1436</v>
      </c>
      <c r="B71" t="s">
        <v>613</v>
      </c>
      <c r="C71">
        <v>39.200000000000003</v>
      </c>
      <c r="D71">
        <f>VLOOKUP(A71,收盤價!A:C,3,0)</f>
        <v>41.65</v>
      </c>
      <c r="E71" s="188">
        <v>6.2499999999999889E-2</v>
      </c>
      <c r="F71">
        <v>21.4</v>
      </c>
    </row>
    <row r="72" spans="1:6">
      <c r="A72">
        <v>1437</v>
      </c>
      <c r="B72" t="s">
        <v>614</v>
      </c>
      <c r="C72">
        <v>10.8</v>
      </c>
      <c r="D72">
        <f>VLOOKUP(A72,收盤價!A:C,3,0)</f>
        <v>12.3</v>
      </c>
      <c r="E72" s="188">
        <v>0.13888888888888887</v>
      </c>
      <c r="F72">
        <v>38.57</v>
      </c>
    </row>
    <row r="73" spans="1:6">
      <c r="A73">
        <v>1438</v>
      </c>
      <c r="B73" t="s">
        <v>615</v>
      </c>
      <c r="C73">
        <v>4.05</v>
      </c>
      <c r="D73">
        <f>VLOOKUP(A73,收盤價!A:C,3,0)</f>
        <v>4.7</v>
      </c>
      <c r="E73" s="188">
        <v>0.16049382716049393</v>
      </c>
      <c r="F73">
        <v>43.69</v>
      </c>
    </row>
    <row r="74" spans="1:6">
      <c r="A74">
        <v>1439</v>
      </c>
      <c r="B74" t="s">
        <v>616</v>
      </c>
      <c r="C74">
        <v>11.5</v>
      </c>
      <c r="D74">
        <f>VLOOKUP(A74,收盤價!A:C,3,0)</f>
        <v>12.8</v>
      </c>
      <c r="E74" s="188">
        <v>0.11304347826086962</v>
      </c>
      <c r="F74">
        <v>32.39</v>
      </c>
    </row>
    <row r="75" spans="1:6">
      <c r="A75">
        <v>1440</v>
      </c>
      <c r="B75" t="s">
        <v>617</v>
      </c>
      <c r="C75">
        <v>12.6</v>
      </c>
      <c r="D75">
        <f>VLOOKUP(A75,收盤價!A:C,3,0)</f>
        <v>15.25</v>
      </c>
      <c r="E75" s="188">
        <v>0.21031746031746035</v>
      </c>
      <c r="F75">
        <v>55.3</v>
      </c>
    </row>
    <row r="76" spans="1:6">
      <c r="A76">
        <v>1441</v>
      </c>
      <c r="B76" t="s">
        <v>618</v>
      </c>
      <c r="C76">
        <v>7.3</v>
      </c>
      <c r="D76">
        <f>VLOOKUP(A76,收盤價!A:C,3,0)</f>
        <v>7.55</v>
      </c>
      <c r="E76" s="188">
        <v>3.4246575342465752E-2</v>
      </c>
      <c r="F76">
        <v>16.79</v>
      </c>
    </row>
    <row r="77" spans="1:6">
      <c r="A77">
        <v>1442</v>
      </c>
      <c r="B77" t="s">
        <v>619</v>
      </c>
      <c r="C77">
        <v>16.100000000000001</v>
      </c>
      <c r="D77">
        <f>VLOOKUP(A77,收盤價!A:C,3,0)</f>
        <v>18.850000000000001</v>
      </c>
      <c r="E77" s="188">
        <v>0.17080745341614906</v>
      </c>
      <c r="F77">
        <v>45.83</v>
      </c>
    </row>
    <row r="78" spans="1:6">
      <c r="A78">
        <v>1443</v>
      </c>
      <c r="B78" t="s">
        <v>620</v>
      </c>
      <c r="C78">
        <v>4.28</v>
      </c>
      <c r="D78">
        <f>VLOOKUP(A78,收盤價!A:C,3,0)</f>
        <v>5.07</v>
      </c>
      <c r="E78" s="188">
        <v>0.18457943925233644</v>
      </c>
      <c r="F78">
        <v>49.56</v>
      </c>
    </row>
    <row r="79" spans="1:6">
      <c r="A79">
        <v>1444</v>
      </c>
      <c r="B79" t="s">
        <v>621</v>
      </c>
      <c r="C79">
        <v>8.25</v>
      </c>
      <c r="D79">
        <f>VLOOKUP(A79,收盤價!A:C,3,0)</f>
        <v>9.01</v>
      </c>
      <c r="E79" s="188">
        <v>9.212121212121209E-2</v>
      </c>
      <c r="F79">
        <v>27.9</v>
      </c>
    </row>
    <row r="80" spans="1:6">
      <c r="A80">
        <v>1445</v>
      </c>
      <c r="B80" t="s">
        <v>622</v>
      </c>
      <c r="C80">
        <v>8.75</v>
      </c>
      <c r="D80">
        <f>VLOOKUP(A80,收盤價!A:C,3,0)</f>
        <v>9.48</v>
      </c>
      <c r="E80" s="188">
        <v>8.3428571428571477E-2</v>
      </c>
      <c r="F80">
        <v>25.76</v>
      </c>
    </row>
    <row r="81" spans="1:6">
      <c r="A81">
        <v>1446</v>
      </c>
      <c r="B81" t="s">
        <v>623</v>
      </c>
      <c r="C81">
        <v>18.05</v>
      </c>
      <c r="D81">
        <f>VLOOKUP(A81,收盤價!A:C,3,0)</f>
        <v>20.55</v>
      </c>
      <c r="E81" s="188">
        <v>0.13850415512465372</v>
      </c>
      <c r="F81">
        <v>38.450000000000003</v>
      </c>
    </row>
    <row r="82" spans="1:6">
      <c r="A82">
        <v>1447</v>
      </c>
      <c r="B82" t="s">
        <v>624</v>
      </c>
      <c r="C82">
        <v>7.25</v>
      </c>
      <c r="D82">
        <f>VLOOKUP(A82,收盤價!A:C,3,0)</f>
        <v>8.76</v>
      </c>
      <c r="E82" s="188">
        <v>0.20827586206896548</v>
      </c>
      <c r="F82">
        <v>54.61</v>
      </c>
    </row>
    <row r="83" spans="1:6">
      <c r="A83">
        <v>1449</v>
      </c>
      <c r="B83" t="s">
        <v>625</v>
      </c>
      <c r="C83">
        <v>5.5</v>
      </c>
      <c r="D83">
        <f>VLOOKUP(A83,收盤價!A:C,3,0)</f>
        <v>7.08</v>
      </c>
      <c r="E83" s="188">
        <v>0.28727272727272729</v>
      </c>
      <c r="F83">
        <v>69.510000000000005</v>
      </c>
    </row>
    <row r="84" spans="1:6">
      <c r="A84">
        <v>1451</v>
      </c>
      <c r="B84" t="s">
        <v>626</v>
      </c>
      <c r="C84">
        <v>18.100000000000001</v>
      </c>
      <c r="D84">
        <f>VLOOKUP(A84,收盤價!A:C,3,0)</f>
        <v>21.4</v>
      </c>
      <c r="E84" s="188">
        <v>0.18232044198895012</v>
      </c>
      <c r="F84">
        <v>48.55</v>
      </c>
    </row>
    <row r="85" spans="1:6">
      <c r="A85">
        <v>1452</v>
      </c>
      <c r="B85" t="s">
        <v>627</v>
      </c>
      <c r="C85">
        <v>25.85</v>
      </c>
      <c r="D85">
        <f>VLOOKUP(A85,收盤價!A:C,3,0)</f>
        <v>25.2</v>
      </c>
      <c r="E85" s="188">
        <v>-2.514506769825927E-2</v>
      </c>
      <c r="F85">
        <v>9.6</v>
      </c>
    </row>
    <row r="86" spans="1:6">
      <c r="A86">
        <v>1453</v>
      </c>
      <c r="B86" t="s">
        <v>628</v>
      </c>
      <c r="C86">
        <v>7.72</v>
      </c>
      <c r="D86">
        <f>VLOOKUP(A86,收盤價!A:C,3,0)</f>
        <v>8.35</v>
      </c>
      <c r="E86" s="188">
        <v>8.1606217616580295E-2</v>
      </c>
      <c r="F86">
        <v>25.13</v>
      </c>
    </row>
    <row r="87" spans="1:6">
      <c r="A87">
        <v>1454</v>
      </c>
      <c r="B87" t="s">
        <v>629</v>
      </c>
      <c r="C87">
        <v>8.82</v>
      </c>
      <c r="D87">
        <f>VLOOKUP(A87,收盤價!A:C,3,0)</f>
        <v>9.76</v>
      </c>
      <c r="E87" s="188">
        <v>0.1065759637188208</v>
      </c>
      <c r="F87">
        <v>30.74</v>
      </c>
    </row>
    <row r="88" spans="1:6">
      <c r="A88">
        <v>1455</v>
      </c>
      <c r="B88" t="s">
        <v>630</v>
      </c>
      <c r="C88">
        <v>9</v>
      </c>
      <c r="D88">
        <f>VLOOKUP(A88,收盤價!A:C,3,0)</f>
        <v>9.02</v>
      </c>
      <c r="E88" s="188">
        <v>2.2222222222221749E-3</v>
      </c>
      <c r="F88">
        <v>12.37</v>
      </c>
    </row>
    <row r="89" spans="1:6">
      <c r="A89">
        <v>1456</v>
      </c>
      <c r="B89" t="s">
        <v>631</v>
      </c>
      <c r="C89">
        <v>5.71</v>
      </c>
      <c r="D89">
        <f>VLOOKUP(A89,收盤價!A:C,3,0)</f>
        <v>4.72</v>
      </c>
      <c r="E89" s="188">
        <v>-0.17338003502626975</v>
      </c>
      <c r="F89">
        <v>3.85</v>
      </c>
    </row>
    <row r="90" spans="1:6">
      <c r="A90">
        <v>1457</v>
      </c>
      <c r="B90" t="s">
        <v>632</v>
      </c>
      <c r="C90">
        <v>12.1</v>
      </c>
      <c r="D90">
        <f>VLOOKUP(A90,收盤價!A:C,3,0)</f>
        <v>13.35</v>
      </c>
      <c r="E90" s="188">
        <v>0.10330578512396695</v>
      </c>
      <c r="F90">
        <v>30.18</v>
      </c>
    </row>
    <row r="91" spans="1:6">
      <c r="A91">
        <v>1459</v>
      </c>
      <c r="B91" t="s">
        <v>633</v>
      </c>
      <c r="C91">
        <v>12.3</v>
      </c>
      <c r="D91">
        <f>VLOOKUP(A91,收盤價!A:C,3,0)</f>
        <v>11</v>
      </c>
      <c r="E91" s="188">
        <v>-0.10569105691056915</v>
      </c>
      <c r="F91">
        <v>5.05</v>
      </c>
    </row>
    <row r="92" spans="1:6">
      <c r="A92">
        <v>1460</v>
      </c>
      <c r="B92" t="s">
        <v>634</v>
      </c>
      <c r="C92">
        <v>11.9</v>
      </c>
      <c r="D92">
        <f>VLOOKUP(A92,收盤價!A:C,3,0)</f>
        <v>16.25</v>
      </c>
      <c r="E92" s="188">
        <v>0.36554621848739494</v>
      </c>
      <c r="F92">
        <v>81</v>
      </c>
    </row>
    <row r="93" spans="1:6">
      <c r="A93">
        <v>1463</v>
      </c>
      <c r="B93" t="s">
        <v>635</v>
      </c>
      <c r="C93">
        <v>13.75</v>
      </c>
      <c r="D93">
        <f>VLOOKUP(A93,收盤價!A:C,3,0)</f>
        <v>15.8</v>
      </c>
      <c r="E93" s="188">
        <v>0.14909090909090914</v>
      </c>
      <c r="F93">
        <v>40.97</v>
      </c>
    </row>
    <row r="94" spans="1:6">
      <c r="A94">
        <v>1464</v>
      </c>
      <c r="B94" t="s">
        <v>636</v>
      </c>
      <c r="C94">
        <v>22.5</v>
      </c>
      <c r="D94">
        <f>VLOOKUP(A94,收盤價!A:C,3,0)</f>
        <v>34.200000000000003</v>
      </c>
      <c r="E94" s="188">
        <v>0.52000000000000013</v>
      </c>
      <c r="F94">
        <v>91.6</v>
      </c>
    </row>
    <row r="95" spans="1:6">
      <c r="A95">
        <v>1465</v>
      </c>
      <c r="B95" t="s">
        <v>637</v>
      </c>
      <c r="C95">
        <v>12.5</v>
      </c>
      <c r="D95">
        <f>VLOOKUP(A95,收盤價!A:C,3,0)</f>
        <v>13.4</v>
      </c>
      <c r="E95" s="188">
        <v>7.2000000000000022E-2</v>
      </c>
      <c r="F95">
        <v>22.54</v>
      </c>
    </row>
    <row r="96" spans="1:6">
      <c r="A96">
        <v>1466</v>
      </c>
      <c r="B96" t="s">
        <v>638</v>
      </c>
      <c r="C96">
        <v>12.4</v>
      </c>
      <c r="D96">
        <f>VLOOKUP(A96,收盤價!A:C,3,0)</f>
        <v>16</v>
      </c>
      <c r="E96" s="188">
        <v>0.29032258064516125</v>
      </c>
      <c r="F96">
        <v>70.2</v>
      </c>
    </row>
    <row r="97" spans="1:6">
      <c r="A97">
        <v>1467</v>
      </c>
      <c r="B97" t="s">
        <v>639</v>
      </c>
      <c r="C97">
        <v>10.5</v>
      </c>
      <c r="D97">
        <f>VLOOKUP(A97,收盤價!A:C,3,0)</f>
        <v>14.75</v>
      </c>
      <c r="E97" s="188">
        <v>0.40476190476190477</v>
      </c>
      <c r="F97">
        <v>84.53</v>
      </c>
    </row>
    <row r="98" spans="1:6">
      <c r="A98">
        <v>1468</v>
      </c>
      <c r="B98" t="s">
        <v>640</v>
      </c>
      <c r="C98">
        <v>9.5399999999999991</v>
      </c>
      <c r="D98">
        <f>VLOOKUP(A98,收盤價!A:C,3,0)</f>
        <v>9.6</v>
      </c>
      <c r="E98" s="188">
        <v>6.2893081761006813E-3</v>
      </c>
      <c r="F98">
        <v>13.07</v>
      </c>
    </row>
    <row r="99" spans="1:6">
      <c r="A99">
        <v>1469</v>
      </c>
      <c r="B99" t="s">
        <v>641</v>
      </c>
      <c r="C99">
        <v>12.25</v>
      </c>
      <c r="D99" t="str">
        <f>VLOOKUP(A99,收盤價!A:C,3,0)</f>
        <v>--</v>
      </c>
      <c r="F99">
        <v>1.83</v>
      </c>
    </row>
    <row r="100" spans="1:6">
      <c r="A100">
        <v>1470</v>
      </c>
      <c r="B100" t="s">
        <v>642</v>
      </c>
      <c r="C100">
        <v>16.100000000000001</v>
      </c>
      <c r="D100">
        <f>VLOOKUP(A100,收盤價!A:C,3,0)</f>
        <v>19.2</v>
      </c>
      <c r="E100" s="188">
        <v>0.19254658385093154</v>
      </c>
      <c r="F100">
        <v>51.07</v>
      </c>
    </row>
    <row r="101" spans="1:6">
      <c r="A101">
        <v>1471</v>
      </c>
      <c r="B101" t="s">
        <v>643</v>
      </c>
      <c r="C101">
        <v>3.42</v>
      </c>
      <c r="D101">
        <f>VLOOKUP(A101,收盤價!A:C,3,0)</f>
        <v>4.43</v>
      </c>
      <c r="E101" s="188">
        <v>0.29532163742690054</v>
      </c>
      <c r="F101">
        <v>71.02</v>
      </c>
    </row>
    <row r="102" spans="1:6">
      <c r="A102">
        <v>1472</v>
      </c>
      <c r="B102" t="s">
        <v>644</v>
      </c>
      <c r="C102">
        <v>11.7</v>
      </c>
      <c r="D102">
        <f>VLOOKUP(A102,收盤價!A:C,3,0)</f>
        <v>16.3</v>
      </c>
      <c r="E102" s="188">
        <v>0.39316239316239332</v>
      </c>
      <c r="F102">
        <v>83.78</v>
      </c>
    </row>
    <row r="103" spans="1:6">
      <c r="A103">
        <v>1473</v>
      </c>
      <c r="B103" t="s">
        <v>645</v>
      </c>
      <c r="C103">
        <v>22.3</v>
      </c>
      <c r="D103">
        <f>VLOOKUP(A103,收盤價!A:C,3,0)</f>
        <v>26.1</v>
      </c>
      <c r="E103" s="188">
        <v>0.17040358744394621</v>
      </c>
      <c r="F103">
        <v>45.52</v>
      </c>
    </row>
    <row r="104" spans="1:6">
      <c r="A104">
        <v>1474</v>
      </c>
      <c r="B104" t="s">
        <v>646</v>
      </c>
      <c r="C104">
        <v>8.14</v>
      </c>
      <c r="D104">
        <f>VLOOKUP(A104,收盤價!A:C,3,0)</f>
        <v>10.35</v>
      </c>
      <c r="E104" s="188">
        <v>0.27149877149877139</v>
      </c>
      <c r="F104">
        <v>66.67</v>
      </c>
    </row>
    <row r="105" spans="1:6">
      <c r="A105">
        <v>1475</v>
      </c>
      <c r="B105" t="s">
        <v>647</v>
      </c>
      <c r="C105">
        <v>6.59</v>
      </c>
      <c r="D105">
        <f>VLOOKUP(A105,收盤價!A:C,3,0)</f>
        <v>8.19</v>
      </c>
      <c r="E105" s="188">
        <v>0.24279210925644912</v>
      </c>
      <c r="F105">
        <v>61.81</v>
      </c>
    </row>
    <row r="106" spans="1:6">
      <c r="A106">
        <v>1476</v>
      </c>
      <c r="B106" t="s">
        <v>648</v>
      </c>
      <c r="C106">
        <v>457</v>
      </c>
      <c r="D106">
        <f>VLOOKUP(A106,收盤價!A:C,3,0)</f>
        <v>451</v>
      </c>
      <c r="E106" s="188">
        <v>-1.3129102844638949E-2</v>
      </c>
      <c r="F106">
        <v>10.67</v>
      </c>
    </row>
    <row r="107" spans="1:6">
      <c r="A107">
        <v>1477</v>
      </c>
      <c r="B107" t="s">
        <v>649</v>
      </c>
      <c r="C107">
        <v>250</v>
      </c>
      <c r="D107">
        <f>VLOOKUP(A107,收盤價!A:C,3,0)</f>
        <v>226</v>
      </c>
      <c r="E107" s="188">
        <v>-9.6000000000000002E-2</v>
      </c>
      <c r="F107">
        <v>5.62</v>
      </c>
    </row>
    <row r="108" spans="1:6">
      <c r="A108">
        <v>1503</v>
      </c>
      <c r="B108" t="s">
        <v>650</v>
      </c>
      <c r="C108">
        <v>37.5</v>
      </c>
      <c r="D108">
        <f>VLOOKUP(A108,收盤價!A:C,3,0)</f>
        <v>40.200000000000003</v>
      </c>
      <c r="E108" s="188">
        <v>7.2000000000000078E-2</v>
      </c>
      <c r="F108">
        <v>22.6</v>
      </c>
    </row>
    <row r="109" spans="1:6">
      <c r="A109">
        <v>1504</v>
      </c>
      <c r="B109" t="s">
        <v>651</v>
      </c>
      <c r="C109">
        <v>22.6</v>
      </c>
      <c r="D109">
        <f>VLOOKUP(A109,收盤價!A:C,3,0)</f>
        <v>26.2</v>
      </c>
      <c r="E109" s="188">
        <v>0.15929203539822998</v>
      </c>
      <c r="F109">
        <v>43.5</v>
      </c>
    </row>
    <row r="110" spans="1:6">
      <c r="A110">
        <v>1506</v>
      </c>
      <c r="B110" t="s">
        <v>652</v>
      </c>
      <c r="C110">
        <v>12.7</v>
      </c>
      <c r="D110">
        <f>VLOOKUP(A110,收盤價!A:C,3,0)</f>
        <v>15.75</v>
      </c>
      <c r="E110" s="188">
        <v>0.2401574803149607</v>
      </c>
      <c r="F110">
        <v>61.49</v>
      </c>
    </row>
    <row r="111" spans="1:6">
      <c r="A111">
        <v>1507</v>
      </c>
      <c r="B111" t="s">
        <v>653</v>
      </c>
      <c r="C111">
        <v>42.9</v>
      </c>
      <c r="D111">
        <f>VLOOKUP(A111,收盤價!A:C,3,0)</f>
        <v>52.5</v>
      </c>
      <c r="E111" s="188">
        <v>0.2237762237762238</v>
      </c>
      <c r="F111">
        <v>58.27</v>
      </c>
    </row>
    <row r="112" spans="1:6">
      <c r="A112">
        <v>1512</v>
      </c>
      <c r="B112" t="s">
        <v>654</v>
      </c>
      <c r="C112">
        <v>3.14</v>
      </c>
      <c r="D112">
        <f>VLOOKUP(A112,收盤價!A:C,3,0)</f>
        <v>4.93</v>
      </c>
      <c r="E112" s="188">
        <v>0.5700636942675158</v>
      </c>
      <c r="F112">
        <v>93.18</v>
      </c>
    </row>
    <row r="113" spans="1:6">
      <c r="A113">
        <v>1513</v>
      </c>
      <c r="B113" t="s">
        <v>655</v>
      </c>
      <c r="C113">
        <v>15.5</v>
      </c>
      <c r="D113">
        <f>VLOOKUP(A113,收盤價!A:C,3,0)</f>
        <v>16.8</v>
      </c>
      <c r="E113" s="188">
        <v>8.3870967741935532E-2</v>
      </c>
      <c r="F113">
        <v>26.07</v>
      </c>
    </row>
    <row r="114" spans="1:6">
      <c r="A114">
        <v>1514</v>
      </c>
      <c r="B114" t="s">
        <v>656</v>
      </c>
      <c r="C114">
        <v>7.39</v>
      </c>
      <c r="D114">
        <f>VLOOKUP(A114,收盤價!A:C,3,0)</f>
        <v>8.1999999999999993</v>
      </c>
      <c r="E114" s="188">
        <v>0.1096075778078484</v>
      </c>
      <c r="F114">
        <v>31.5</v>
      </c>
    </row>
    <row r="115" spans="1:6">
      <c r="A115">
        <v>1515</v>
      </c>
      <c r="B115" t="s">
        <v>657</v>
      </c>
      <c r="C115">
        <v>9.3800000000000008</v>
      </c>
      <c r="D115">
        <f>VLOOKUP(A115,收盤價!A:C,3,0)</f>
        <v>11</v>
      </c>
      <c r="E115" s="188">
        <v>0.17270788912579949</v>
      </c>
      <c r="F115">
        <v>46.21</v>
      </c>
    </row>
    <row r="116" spans="1:6">
      <c r="A116">
        <v>1516</v>
      </c>
      <c r="B116" t="s">
        <v>658</v>
      </c>
      <c r="C116">
        <v>21.6</v>
      </c>
      <c r="D116">
        <f>VLOOKUP(A116,收盤價!A:C,3,0)</f>
        <v>21.1</v>
      </c>
      <c r="E116" s="188">
        <v>-2.3148148148148147E-2</v>
      </c>
      <c r="F116">
        <v>9.85</v>
      </c>
    </row>
    <row r="117" spans="1:6">
      <c r="A117">
        <v>1517</v>
      </c>
      <c r="B117" t="s">
        <v>659</v>
      </c>
      <c r="C117">
        <v>9.94</v>
      </c>
      <c r="D117">
        <f>VLOOKUP(A117,收盤價!A:C,3,0)</f>
        <v>11.95</v>
      </c>
      <c r="E117" s="188">
        <v>0.2022132796780684</v>
      </c>
      <c r="F117">
        <v>53.6</v>
      </c>
    </row>
    <row r="118" spans="1:6">
      <c r="A118">
        <v>1519</v>
      </c>
      <c r="B118" t="s">
        <v>660</v>
      </c>
      <c r="C118">
        <v>13.5</v>
      </c>
      <c r="D118">
        <f>VLOOKUP(A118,收盤價!A:C,3,0)</f>
        <v>14.8</v>
      </c>
      <c r="E118" s="188">
        <v>9.6296296296296352E-2</v>
      </c>
      <c r="F118">
        <v>28.79</v>
      </c>
    </row>
    <row r="119" spans="1:6">
      <c r="A119">
        <v>1521</v>
      </c>
      <c r="B119" t="s">
        <v>661</v>
      </c>
      <c r="C119">
        <v>67.7</v>
      </c>
      <c r="D119">
        <f>VLOOKUP(A119,收盤價!A:C,3,0)</f>
        <v>82.1</v>
      </c>
      <c r="E119" s="188">
        <v>0.2127031019202362</v>
      </c>
      <c r="F119">
        <v>56.12</v>
      </c>
    </row>
    <row r="120" spans="1:6">
      <c r="A120">
        <v>1522</v>
      </c>
      <c r="B120" t="s">
        <v>662</v>
      </c>
      <c r="C120">
        <v>16.3</v>
      </c>
      <c r="D120">
        <f>VLOOKUP(A120,收盤價!A:C,3,0)</f>
        <v>22.3</v>
      </c>
      <c r="E120" s="188">
        <v>0.36809815950920244</v>
      </c>
      <c r="F120">
        <v>81.44</v>
      </c>
    </row>
    <row r="121" spans="1:6">
      <c r="A121">
        <v>1524</v>
      </c>
      <c r="B121" t="s">
        <v>663</v>
      </c>
      <c r="C121">
        <v>4.37</v>
      </c>
      <c r="D121">
        <f>VLOOKUP(A121,收盤價!A:C,3,0)</f>
        <v>5.78</v>
      </c>
      <c r="E121" s="188">
        <v>0.32265446224256294</v>
      </c>
      <c r="F121">
        <v>75.25</v>
      </c>
    </row>
    <row r="122" spans="1:6">
      <c r="A122">
        <v>1525</v>
      </c>
      <c r="B122" t="s">
        <v>664</v>
      </c>
      <c r="C122">
        <v>56.4</v>
      </c>
      <c r="D122">
        <f>VLOOKUP(A122,收盤價!A:C,3,0)</f>
        <v>76</v>
      </c>
      <c r="E122" s="188">
        <v>0.34751773049645396</v>
      </c>
      <c r="F122">
        <v>78.72</v>
      </c>
    </row>
    <row r="123" spans="1:6">
      <c r="A123">
        <v>1526</v>
      </c>
      <c r="B123" t="s">
        <v>665</v>
      </c>
      <c r="C123">
        <v>11.9</v>
      </c>
      <c r="D123">
        <f>VLOOKUP(A123,收盤價!A:C,3,0)</f>
        <v>12.9</v>
      </c>
      <c r="E123" s="188">
        <v>8.4033613445378144E-2</v>
      </c>
      <c r="F123">
        <v>26.14</v>
      </c>
    </row>
    <row r="124" spans="1:6">
      <c r="A124">
        <v>1527</v>
      </c>
      <c r="B124" t="s">
        <v>666</v>
      </c>
      <c r="C124">
        <v>35.9</v>
      </c>
      <c r="D124">
        <f>VLOOKUP(A124,收盤價!A:C,3,0)</f>
        <v>57.6</v>
      </c>
      <c r="E124" s="188">
        <v>0.60445682451253491</v>
      </c>
      <c r="F124">
        <v>94.26</v>
      </c>
    </row>
    <row r="125" spans="1:6">
      <c r="A125">
        <v>1528</v>
      </c>
      <c r="B125" t="s">
        <v>667</v>
      </c>
      <c r="C125">
        <v>7.6</v>
      </c>
      <c r="D125">
        <f>VLOOKUP(A125,收盤價!A:C,3,0)</f>
        <v>9.4</v>
      </c>
      <c r="E125" s="188">
        <v>0.23684210526315799</v>
      </c>
      <c r="F125">
        <v>60.86</v>
      </c>
    </row>
    <row r="126" spans="1:6">
      <c r="A126">
        <v>1529</v>
      </c>
      <c r="B126" t="s">
        <v>668</v>
      </c>
      <c r="C126">
        <v>4.1399999999999997</v>
      </c>
      <c r="D126">
        <f>VLOOKUP(A126,收盤價!A:C,3,0)</f>
        <v>5.8</v>
      </c>
      <c r="E126" s="188">
        <v>0.40096618357487929</v>
      </c>
      <c r="F126">
        <v>84.22</v>
      </c>
    </row>
    <row r="127" spans="1:6">
      <c r="A127">
        <v>1530</v>
      </c>
      <c r="B127" t="s">
        <v>669</v>
      </c>
      <c r="C127">
        <v>25.5</v>
      </c>
      <c r="D127">
        <f>VLOOKUP(A127,收盤價!A:C,3,0)</f>
        <v>29.85</v>
      </c>
      <c r="E127" s="188">
        <v>0.17058823529411771</v>
      </c>
      <c r="F127">
        <v>45.58</v>
      </c>
    </row>
    <row r="128" spans="1:6">
      <c r="A128">
        <v>1531</v>
      </c>
      <c r="B128" t="s">
        <v>670</v>
      </c>
      <c r="C128">
        <v>16</v>
      </c>
      <c r="D128">
        <f>VLOOKUP(A128,收盤價!A:C,3,0)</f>
        <v>17.100000000000001</v>
      </c>
      <c r="E128" s="188">
        <v>6.8750000000000089E-2</v>
      </c>
      <c r="F128">
        <v>22.1</v>
      </c>
    </row>
    <row r="129" spans="1:6">
      <c r="A129">
        <v>1532</v>
      </c>
      <c r="B129" t="s">
        <v>671</v>
      </c>
      <c r="C129">
        <v>21</v>
      </c>
      <c r="D129">
        <f>VLOOKUP(A129,收盤價!A:C,3,0)</f>
        <v>27.5</v>
      </c>
      <c r="E129" s="188">
        <v>0.30952380952380953</v>
      </c>
      <c r="F129">
        <v>73.36</v>
      </c>
    </row>
    <row r="130" spans="1:6">
      <c r="A130">
        <v>1533</v>
      </c>
      <c r="B130" t="s">
        <v>672</v>
      </c>
      <c r="C130">
        <v>34.65</v>
      </c>
      <c r="D130">
        <f>VLOOKUP(A130,收盤價!A:C,3,0)</f>
        <v>45.8</v>
      </c>
      <c r="E130" s="188">
        <v>0.32178932178932174</v>
      </c>
      <c r="F130">
        <v>75.13</v>
      </c>
    </row>
    <row r="131" spans="1:6">
      <c r="A131">
        <v>1535</v>
      </c>
      <c r="B131" t="s">
        <v>673</v>
      </c>
      <c r="C131">
        <v>53.4</v>
      </c>
      <c r="D131">
        <f>VLOOKUP(A131,收盤價!A:C,3,0)</f>
        <v>60.2</v>
      </c>
      <c r="E131" s="188">
        <v>0.12734082397003754</v>
      </c>
      <c r="F131">
        <v>36.24</v>
      </c>
    </row>
    <row r="132" spans="1:6">
      <c r="A132">
        <v>1536</v>
      </c>
      <c r="B132" t="s">
        <v>674</v>
      </c>
      <c r="C132">
        <v>88.5</v>
      </c>
      <c r="D132">
        <f>VLOOKUP(A132,收盤價!A:C,3,0)</f>
        <v>123</v>
      </c>
      <c r="E132" s="188">
        <v>0.38983050847457629</v>
      </c>
      <c r="F132">
        <v>83.59</v>
      </c>
    </row>
    <row r="133" spans="1:6">
      <c r="A133">
        <v>1537</v>
      </c>
      <c r="B133" t="s">
        <v>675</v>
      </c>
      <c r="C133">
        <v>109</v>
      </c>
      <c r="D133">
        <f>VLOOKUP(A133,收盤價!A:C,3,0)</f>
        <v>123</v>
      </c>
      <c r="E133" s="188">
        <v>0.12844036697247707</v>
      </c>
      <c r="F133">
        <v>36.36</v>
      </c>
    </row>
    <row r="134" spans="1:6">
      <c r="A134">
        <v>1538</v>
      </c>
      <c r="B134" t="s">
        <v>676</v>
      </c>
      <c r="C134">
        <v>4.16</v>
      </c>
      <c r="D134">
        <f>VLOOKUP(A134,收盤價!A:C,3,0)</f>
        <v>4.87</v>
      </c>
      <c r="E134" s="188">
        <v>0.1706730769230769</v>
      </c>
      <c r="F134">
        <v>45.71</v>
      </c>
    </row>
    <row r="135" spans="1:6">
      <c r="A135">
        <v>1539</v>
      </c>
      <c r="B135" t="s">
        <v>677</v>
      </c>
      <c r="C135">
        <v>36.299999999999997</v>
      </c>
      <c r="D135">
        <f>VLOOKUP(A135,收盤價!A:C,3,0)</f>
        <v>34</v>
      </c>
      <c r="E135" s="188">
        <v>-6.3360881542699657E-2</v>
      </c>
      <c r="F135">
        <v>7.2</v>
      </c>
    </row>
    <row r="136" spans="1:6">
      <c r="A136">
        <v>1540</v>
      </c>
      <c r="B136" t="s">
        <v>678</v>
      </c>
      <c r="C136">
        <v>14.9</v>
      </c>
      <c r="D136">
        <f>VLOOKUP(A136,收盤價!A:C,3,0)</f>
        <v>16</v>
      </c>
      <c r="E136" s="188">
        <v>7.3825503355704675E-2</v>
      </c>
      <c r="F136">
        <v>23.23</v>
      </c>
    </row>
    <row r="137" spans="1:6">
      <c r="A137">
        <v>1541</v>
      </c>
      <c r="B137" t="s">
        <v>679</v>
      </c>
      <c r="C137">
        <v>23.05</v>
      </c>
      <c r="D137">
        <f>VLOOKUP(A137,收盤價!A:C,3,0)</f>
        <v>55.7</v>
      </c>
      <c r="E137" s="188">
        <v>1.4164859002169199</v>
      </c>
      <c r="F137">
        <v>99.43</v>
      </c>
    </row>
    <row r="138" spans="1:6">
      <c r="A138">
        <v>1558</v>
      </c>
      <c r="B138" t="s">
        <v>680</v>
      </c>
      <c r="C138">
        <v>101</v>
      </c>
      <c r="D138">
        <f>VLOOKUP(A138,收盤價!A:C,3,0)</f>
        <v>142.5</v>
      </c>
      <c r="E138" s="188">
        <v>0.41089108910891087</v>
      </c>
      <c r="F138">
        <v>84.91</v>
      </c>
    </row>
    <row r="139" spans="1:6">
      <c r="A139">
        <v>1560</v>
      </c>
      <c r="B139" t="s">
        <v>681</v>
      </c>
      <c r="C139">
        <v>41.75</v>
      </c>
      <c r="D139">
        <f>VLOOKUP(A139,收盤價!A:C,3,0)</f>
        <v>53.4</v>
      </c>
      <c r="E139" s="188">
        <v>0.27904191616766466</v>
      </c>
      <c r="F139">
        <v>68.37</v>
      </c>
    </row>
    <row r="140" spans="1:6">
      <c r="A140">
        <v>1565</v>
      </c>
      <c r="B140" t="s">
        <v>1443</v>
      </c>
      <c r="C140">
        <v>305.5</v>
      </c>
      <c r="D140">
        <f>VLOOKUP(A140,收盤價!A:C,3,0)</f>
        <v>560</v>
      </c>
      <c r="E140" s="188">
        <v>0.83306055646481181</v>
      </c>
      <c r="F140">
        <v>98.04</v>
      </c>
    </row>
    <row r="141" spans="1:6">
      <c r="A141">
        <v>1566</v>
      </c>
      <c r="B141" t="s">
        <v>268</v>
      </c>
      <c r="C141">
        <v>15</v>
      </c>
      <c r="D141">
        <f>VLOOKUP(A141,收盤價!A:C,3,0)</f>
        <v>23.9</v>
      </c>
      <c r="E141" s="188">
        <v>0.59333333333333327</v>
      </c>
      <c r="F141">
        <v>93.81</v>
      </c>
    </row>
    <row r="142" spans="1:6">
      <c r="A142">
        <v>1568</v>
      </c>
      <c r="B142" t="s">
        <v>682</v>
      </c>
      <c r="C142">
        <v>14.1</v>
      </c>
      <c r="D142">
        <f>VLOOKUP(A142,收盤價!A:C,3,0)</f>
        <v>16.5</v>
      </c>
      <c r="E142" s="188">
        <v>0.17021276595744683</v>
      </c>
      <c r="F142">
        <v>45.45</v>
      </c>
    </row>
    <row r="143" spans="1:6">
      <c r="A143">
        <v>1569</v>
      </c>
      <c r="B143" t="s">
        <v>269</v>
      </c>
      <c r="C143">
        <v>7.2</v>
      </c>
      <c r="D143">
        <f>VLOOKUP(A143,收盤價!A:C,3,0)</f>
        <v>10.8</v>
      </c>
      <c r="E143" s="188">
        <v>0.50000000000000011</v>
      </c>
      <c r="F143">
        <v>90.91</v>
      </c>
    </row>
    <row r="144" spans="1:6">
      <c r="A144">
        <v>1570</v>
      </c>
      <c r="B144" t="s">
        <v>1444</v>
      </c>
      <c r="C144">
        <v>17.55</v>
      </c>
      <c r="D144">
        <f>VLOOKUP(A144,收盤價!A:C,3,0)</f>
        <v>17.7</v>
      </c>
      <c r="E144" s="188">
        <v>8.5470085470084663E-3</v>
      </c>
      <c r="F144">
        <v>13.64</v>
      </c>
    </row>
    <row r="145" spans="1:6">
      <c r="A145">
        <v>1580</v>
      </c>
      <c r="B145" t="s">
        <v>1445</v>
      </c>
      <c r="C145">
        <v>99</v>
      </c>
      <c r="D145">
        <f>VLOOKUP(A145,收盤價!A:C,3,0)</f>
        <v>112</v>
      </c>
      <c r="E145" s="188">
        <v>0.13131313131313133</v>
      </c>
      <c r="F145">
        <v>37.06</v>
      </c>
    </row>
    <row r="146" spans="1:6">
      <c r="A146">
        <v>1582</v>
      </c>
      <c r="B146" t="s">
        <v>683</v>
      </c>
      <c r="C146">
        <v>41</v>
      </c>
      <c r="D146">
        <f>VLOOKUP(A146,收盤價!A:C,3,0)</f>
        <v>51.3</v>
      </c>
      <c r="E146" s="188">
        <v>0.2512195121951219</v>
      </c>
      <c r="F146">
        <v>63.38</v>
      </c>
    </row>
    <row r="147" spans="1:6">
      <c r="A147">
        <v>1583</v>
      </c>
      <c r="B147" t="s">
        <v>684</v>
      </c>
      <c r="C147">
        <v>57.9</v>
      </c>
      <c r="D147">
        <f>VLOOKUP(A147,收盤價!A:C,3,0)</f>
        <v>64.099999999999994</v>
      </c>
      <c r="E147" s="188">
        <v>0.10708117443868732</v>
      </c>
      <c r="F147">
        <v>30.93</v>
      </c>
    </row>
    <row r="148" spans="1:6">
      <c r="A148">
        <v>1584</v>
      </c>
      <c r="B148" t="s">
        <v>1446</v>
      </c>
      <c r="C148">
        <v>13.15</v>
      </c>
      <c r="D148">
        <f>VLOOKUP(A148,收盤價!A:C,3,0)</f>
        <v>13.6</v>
      </c>
      <c r="E148" s="188">
        <v>3.4220532319391581E-2</v>
      </c>
      <c r="F148">
        <v>16.73</v>
      </c>
    </row>
    <row r="149" spans="1:6">
      <c r="A149">
        <v>1586</v>
      </c>
      <c r="B149" t="s">
        <v>1447</v>
      </c>
      <c r="C149">
        <v>19.850000000000001</v>
      </c>
      <c r="D149">
        <f>VLOOKUP(A149,收盤價!A:C,3,0)</f>
        <v>24.7</v>
      </c>
      <c r="E149" s="188">
        <v>0.24433249370277066</v>
      </c>
      <c r="F149">
        <v>62.25</v>
      </c>
    </row>
    <row r="150" spans="1:6">
      <c r="A150">
        <v>1589</v>
      </c>
      <c r="B150" t="s">
        <v>685</v>
      </c>
      <c r="C150">
        <v>168.5</v>
      </c>
      <c r="D150">
        <f>VLOOKUP(A150,收盤價!A:C,3,0)</f>
        <v>186.5</v>
      </c>
      <c r="E150" s="188">
        <v>0.10682492581602374</v>
      </c>
      <c r="F150">
        <v>30.87</v>
      </c>
    </row>
    <row r="151" spans="1:6">
      <c r="A151">
        <v>1590</v>
      </c>
      <c r="B151" t="s">
        <v>686</v>
      </c>
      <c r="C151">
        <v>135</v>
      </c>
      <c r="D151">
        <f>VLOOKUP(A151,收盤價!A:C,3,0)</f>
        <v>155</v>
      </c>
      <c r="E151" s="188">
        <v>0.14814814814814814</v>
      </c>
      <c r="F151">
        <v>40.590000000000003</v>
      </c>
    </row>
    <row r="152" spans="1:6">
      <c r="A152">
        <v>1591</v>
      </c>
      <c r="B152" t="s">
        <v>1448</v>
      </c>
      <c r="C152">
        <v>24</v>
      </c>
      <c r="D152">
        <f>VLOOKUP(A152,收盤價!A:C,3,0)</f>
        <v>0</v>
      </c>
      <c r="E152" s="188">
        <v>-1</v>
      </c>
      <c r="F152">
        <v>3.22</v>
      </c>
    </row>
    <row r="153" spans="1:6">
      <c r="A153">
        <v>1592</v>
      </c>
      <c r="B153" t="s">
        <v>687</v>
      </c>
      <c r="C153">
        <v>21.2</v>
      </c>
      <c r="D153">
        <f>VLOOKUP(A153,收盤價!A:C,3,0)</f>
        <v>28</v>
      </c>
      <c r="E153" s="188">
        <v>0.32075471698113212</v>
      </c>
      <c r="F153">
        <v>74.94</v>
      </c>
    </row>
    <row r="154" spans="1:6">
      <c r="A154">
        <v>1593</v>
      </c>
      <c r="B154" t="s">
        <v>270</v>
      </c>
      <c r="C154">
        <v>37</v>
      </c>
      <c r="D154">
        <f>VLOOKUP(A154,收盤價!A:C,3,0)</f>
        <v>39.1</v>
      </c>
      <c r="E154" s="188">
        <v>5.6756756756756795E-2</v>
      </c>
      <c r="F154">
        <v>20.45</v>
      </c>
    </row>
    <row r="155" spans="1:6">
      <c r="A155">
        <v>1595</v>
      </c>
      <c r="B155" t="s">
        <v>1449</v>
      </c>
      <c r="C155">
        <v>47.2</v>
      </c>
      <c r="D155">
        <f>VLOOKUP(A155,收盤價!A:C,3,0)</f>
        <v>56.6</v>
      </c>
      <c r="E155" s="188">
        <v>0.19915254237288132</v>
      </c>
      <c r="F155">
        <v>52.65</v>
      </c>
    </row>
    <row r="156" spans="1:6">
      <c r="A156">
        <v>1597</v>
      </c>
      <c r="B156" t="s">
        <v>271</v>
      </c>
      <c r="C156">
        <v>21.9</v>
      </c>
      <c r="D156">
        <f>VLOOKUP(A156,收盤價!A:C,3,0)</f>
        <v>26.1</v>
      </c>
      <c r="E156" s="188">
        <v>0.19178082191780838</v>
      </c>
      <c r="F156">
        <v>51.01</v>
      </c>
    </row>
    <row r="157" spans="1:6">
      <c r="A157">
        <v>1599</v>
      </c>
      <c r="B157" t="s">
        <v>1450</v>
      </c>
      <c r="C157">
        <v>46.9</v>
      </c>
      <c r="D157">
        <f>VLOOKUP(A157,收盤價!A:C,3,0)</f>
        <v>66.2</v>
      </c>
      <c r="E157" s="188">
        <v>0.41151385927505341</v>
      </c>
      <c r="F157">
        <v>84.97</v>
      </c>
    </row>
    <row r="158" spans="1:6">
      <c r="A158">
        <v>1603</v>
      </c>
      <c r="B158" t="s">
        <v>688</v>
      </c>
      <c r="C158">
        <v>9.4</v>
      </c>
      <c r="D158">
        <f>VLOOKUP(A158,收盤價!A:C,3,0)</f>
        <v>11.75</v>
      </c>
      <c r="E158" s="188">
        <v>0.24999999999999994</v>
      </c>
      <c r="F158">
        <v>63.13</v>
      </c>
    </row>
    <row r="159" spans="1:6">
      <c r="A159">
        <v>1604</v>
      </c>
      <c r="B159" t="s">
        <v>689</v>
      </c>
      <c r="C159">
        <v>11.9</v>
      </c>
      <c r="D159">
        <f>VLOOKUP(A159,收盤價!A:C,3,0)</f>
        <v>12.4</v>
      </c>
      <c r="E159" s="188">
        <v>4.2016806722689072E-2</v>
      </c>
      <c r="F159">
        <v>17.87</v>
      </c>
    </row>
    <row r="160" spans="1:6">
      <c r="A160">
        <v>1605</v>
      </c>
      <c r="B160" t="s">
        <v>690</v>
      </c>
      <c r="C160">
        <v>6.16</v>
      </c>
      <c r="D160">
        <f>VLOOKUP(A160,收盤價!A:C,3,0)</f>
        <v>7.37</v>
      </c>
      <c r="E160" s="188">
        <v>0.19642857142857142</v>
      </c>
      <c r="F160">
        <v>52.15</v>
      </c>
    </row>
    <row r="161" spans="1:6">
      <c r="A161">
        <v>1608</v>
      </c>
      <c r="B161" t="s">
        <v>691</v>
      </c>
      <c r="C161">
        <v>6.14</v>
      </c>
      <c r="D161">
        <f>VLOOKUP(A161,收盤價!A:C,3,0)</f>
        <v>7.16</v>
      </c>
      <c r="E161" s="188">
        <v>0.16612377850162874</v>
      </c>
      <c r="F161">
        <v>44.57</v>
      </c>
    </row>
    <row r="162" spans="1:6">
      <c r="A162">
        <v>1609</v>
      </c>
      <c r="B162" t="s">
        <v>692</v>
      </c>
      <c r="C162">
        <v>4.05</v>
      </c>
      <c r="D162">
        <f>VLOOKUP(A162,收盤價!A:C,3,0)</f>
        <v>4.9000000000000004</v>
      </c>
      <c r="E162" s="188">
        <v>0.20987654320987667</v>
      </c>
      <c r="F162">
        <v>55.05</v>
      </c>
    </row>
    <row r="163" spans="1:6">
      <c r="A163">
        <v>1611</v>
      </c>
      <c r="B163" t="s">
        <v>693</v>
      </c>
      <c r="C163">
        <v>6.44</v>
      </c>
      <c r="D163">
        <f>VLOOKUP(A163,收盤價!A:C,3,0)</f>
        <v>7.68</v>
      </c>
      <c r="E163" s="188">
        <v>0.19254658385093157</v>
      </c>
      <c r="F163">
        <v>51.14</v>
      </c>
    </row>
    <row r="164" spans="1:6">
      <c r="A164">
        <v>1612</v>
      </c>
      <c r="B164" t="s">
        <v>694</v>
      </c>
      <c r="C164">
        <v>7.55</v>
      </c>
      <c r="D164">
        <f>VLOOKUP(A164,收盤價!A:C,3,0)</f>
        <v>8.3699999999999992</v>
      </c>
      <c r="E164" s="188">
        <v>0.10860927152317873</v>
      </c>
      <c r="F164">
        <v>31.31</v>
      </c>
    </row>
    <row r="165" spans="1:6">
      <c r="A165">
        <v>1613</v>
      </c>
      <c r="B165" t="s">
        <v>695</v>
      </c>
      <c r="C165">
        <v>2.62</v>
      </c>
      <c r="D165">
        <f>VLOOKUP(A165,收盤價!A:C,3,0)</f>
        <v>3.37</v>
      </c>
      <c r="E165" s="188">
        <v>0.2862595419847328</v>
      </c>
      <c r="F165">
        <v>69.319999999999993</v>
      </c>
    </row>
    <row r="166" spans="1:6">
      <c r="A166">
        <v>1614</v>
      </c>
      <c r="B166" t="s">
        <v>696</v>
      </c>
      <c r="C166">
        <v>23.2</v>
      </c>
      <c r="D166">
        <f>VLOOKUP(A166,收盤價!A:C,3,0)</f>
        <v>26.8</v>
      </c>
      <c r="E166" s="188">
        <v>0.15517241379310351</v>
      </c>
      <c r="F166">
        <v>42.42</v>
      </c>
    </row>
    <row r="167" spans="1:6">
      <c r="A167">
        <v>1615</v>
      </c>
      <c r="B167" t="s">
        <v>697</v>
      </c>
      <c r="C167">
        <v>9.65</v>
      </c>
      <c r="D167">
        <f>VLOOKUP(A167,收盤價!A:C,3,0)</f>
        <v>9.85</v>
      </c>
      <c r="E167" s="188">
        <v>2.0725388601036194E-2</v>
      </c>
      <c r="F167">
        <v>14.96</v>
      </c>
    </row>
    <row r="168" spans="1:6">
      <c r="A168">
        <v>1616</v>
      </c>
      <c r="B168" t="s">
        <v>698</v>
      </c>
      <c r="C168">
        <v>4.0999999999999996</v>
      </c>
      <c r="D168">
        <f>VLOOKUP(A168,收盤價!A:C,3,0)</f>
        <v>4.87</v>
      </c>
      <c r="E168" s="188">
        <v>0.18780487804878063</v>
      </c>
      <c r="F168">
        <v>49.87</v>
      </c>
    </row>
    <row r="169" spans="1:6">
      <c r="A169">
        <v>1617</v>
      </c>
      <c r="B169" t="s">
        <v>699</v>
      </c>
      <c r="C169">
        <v>6.69</v>
      </c>
      <c r="D169">
        <f>VLOOKUP(A169,收盤價!A:C,3,0)</f>
        <v>6.97</v>
      </c>
      <c r="E169" s="188">
        <v>4.1853512705530546E-2</v>
      </c>
      <c r="F169">
        <v>17.8</v>
      </c>
    </row>
    <row r="170" spans="1:6">
      <c r="A170">
        <v>1618</v>
      </c>
      <c r="B170" t="s">
        <v>700</v>
      </c>
      <c r="C170">
        <v>6.01</v>
      </c>
      <c r="D170">
        <f>VLOOKUP(A170,收盤價!A:C,3,0)</f>
        <v>7.2</v>
      </c>
      <c r="E170" s="188">
        <v>0.1980033277870217</v>
      </c>
      <c r="F170">
        <v>52.4</v>
      </c>
    </row>
    <row r="171" spans="1:6">
      <c r="A171">
        <v>1626</v>
      </c>
      <c r="B171" t="s">
        <v>701</v>
      </c>
      <c r="C171">
        <v>23.2</v>
      </c>
      <c r="D171">
        <f>VLOOKUP(A171,收盤價!A:C,3,0)</f>
        <v>24.5</v>
      </c>
      <c r="E171" s="188">
        <v>5.6034482758620725E-2</v>
      </c>
      <c r="F171">
        <v>20.27</v>
      </c>
    </row>
    <row r="172" spans="1:6">
      <c r="A172">
        <v>1701</v>
      </c>
      <c r="B172" t="s">
        <v>702</v>
      </c>
      <c r="C172">
        <v>15.1</v>
      </c>
      <c r="D172">
        <f>VLOOKUP(A172,收盤價!A:C,3,0)</f>
        <v>18.05</v>
      </c>
      <c r="E172" s="188">
        <v>0.19536423841059611</v>
      </c>
      <c r="F172">
        <v>51.77</v>
      </c>
    </row>
    <row r="173" spans="1:6">
      <c r="A173">
        <v>1702</v>
      </c>
      <c r="B173" t="s">
        <v>703</v>
      </c>
      <c r="C173">
        <v>67.5</v>
      </c>
      <c r="D173">
        <f>VLOOKUP(A173,收盤價!A:C,3,0)</f>
        <v>68.599999999999994</v>
      </c>
      <c r="E173" s="188">
        <v>1.6296296296296212E-2</v>
      </c>
      <c r="F173">
        <v>14.46</v>
      </c>
    </row>
    <row r="174" spans="1:6">
      <c r="A174">
        <v>1704</v>
      </c>
      <c r="B174" t="s">
        <v>704</v>
      </c>
      <c r="C174">
        <v>16.8</v>
      </c>
      <c r="D174">
        <f>VLOOKUP(A174,收盤價!A:C,3,0)</f>
        <v>27.45</v>
      </c>
      <c r="E174" s="188">
        <v>0.63392857142857129</v>
      </c>
      <c r="F174">
        <v>95.14</v>
      </c>
    </row>
    <row r="175" spans="1:6">
      <c r="A175">
        <v>1707</v>
      </c>
      <c r="B175" t="s">
        <v>705</v>
      </c>
      <c r="C175">
        <v>134</v>
      </c>
      <c r="D175">
        <f>VLOOKUP(A175,收盤價!A:C,3,0)</f>
        <v>176.5</v>
      </c>
      <c r="E175" s="188">
        <v>0.31716417910447764</v>
      </c>
      <c r="F175">
        <v>74.56</v>
      </c>
    </row>
    <row r="176" spans="1:6">
      <c r="A176">
        <v>1708</v>
      </c>
      <c r="B176" t="s">
        <v>706</v>
      </c>
      <c r="C176">
        <v>30.85</v>
      </c>
      <c r="D176">
        <f>VLOOKUP(A176,收盤價!A:C,3,0)</f>
        <v>33.35</v>
      </c>
      <c r="E176" s="188">
        <v>8.1037277147487846E-2</v>
      </c>
      <c r="F176">
        <v>24.94</v>
      </c>
    </row>
    <row r="177" spans="1:6">
      <c r="A177">
        <v>1709</v>
      </c>
      <c r="B177" t="s">
        <v>707</v>
      </c>
      <c r="C177">
        <v>12.2</v>
      </c>
      <c r="D177">
        <f>VLOOKUP(A177,收盤價!A:C,3,0)</f>
        <v>14.7</v>
      </c>
      <c r="E177" s="188">
        <v>0.20491803278688525</v>
      </c>
      <c r="F177">
        <v>53.98</v>
      </c>
    </row>
    <row r="178" spans="1:6">
      <c r="A178">
        <v>1710</v>
      </c>
      <c r="B178" t="s">
        <v>708</v>
      </c>
      <c r="C178">
        <v>20.5</v>
      </c>
      <c r="D178">
        <f>VLOOKUP(A178,收盤價!A:C,3,0)</f>
        <v>23.5</v>
      </c>
      <c r="E178" s="188">
        <v>0.14634146341463414</v>
      </c>
      <c r="F178">
        <v>40.21</v>
      </c>
    </row>
    <row r="179" spans="1:6">
      <c r="A179">
        <v>1711</v>
      </c>
      <c r="B179" t="s">
        <v>709</v>
      </c>
      <c r="C179">
        <v>14.9</v>
      </c>
      <c r="D179">
        <f>VLOOKUP(A179,收盤價!A:C,3,0)</f>
        <v>19.95</v>
      </c>
      <c r="E179" s="188">
        <v>0.33892617449664419</v>
      </c>
      <c r="F179">
        <v>77.459999999999994</v>
      </c>
    </row>
    <row r="180" spans="1:6">
      <c r="A180">
        <v>1712</v>
      </c>
      <c r="B180" t="s">
        <v>710</v>
      </c>
      <c r="C180">
        <v>12.2</v>
      </c>
      <c r="D180">
        <f>VLOOKUP(A180,收盤價!A:C,3,0)</f>
        <v>13.9</v>
      </c>
      <c r="E180" s="188">
        <v>0.13934426229508207</v>
      </c>
      <c r="F180">
        <v>38.700000000000003</v>
      </c>
    </row>
    <row r="181" spans="1:6">
      <c r="A181">
        <v>1713</v>
      </c>
      <c r="B181" t="s">
        <v>711</v>
      </c>
      <c r="C181">
        <v>15.5</v>
      </c>
      <c r="D181">
        <f>VLOOKUP(A181,收盤價!A:C,3,0)</f>
        <v>15.55</v>
      </c>
      <c r="E181" s="188">
        <v>3.2258064516129492E-3</v>
      </c>
      <c r="F181">
        <v>12.63</v>
      </c>
    </row>
    <row r="182" spans="1:6">
      <c r="A182">
        <v>1714</v>
      </c>
      <c r="B182" t="s">
        <v>712</v>
      </c>
      <c r="C182">
        <v>6.2</v>
      </c>
      <c r="D182">
        <f>VLOOKUP(A182,收盤價!A:C,3,0)</f>
        <v>7.28</v>
      </c>
      <c r="E182" s="188">
        <v>0.17419354838709677</v>
      </c>
      <c r="F182">
        <v>46.72</v>
      </c>
    </row>
    <row r="183" spans="1:6">
      <c r="A183">
        <v>1715</v>
      </c>
      <c r="B183" t="s">
        <v>713</v>
      </c>
      <c r="C183">
        <v>10</v>
      </c>
      <c r="D183">
        <f>VLOOKUP(A183,收盤價!A:C,3,0)</f>
        <v>13.1</v>
      </c>
      <c r="E183" s="188">
        <v>0.30999999999999994</v>
      </c>
      <c r="F183">
        <v>73.42</v>
      </c>
    </row>
    <row r="184" spans="1:6">
      <c r="A184">
        <v>1717</v>
      </c>
      <c r="B184" t="s">
        <v>714</v>
      </c>
      <c r="C184">
        <v>27.8</v>
      </c>
      <c r="D184">
        <f>VLOOKUP(A184,收盤價!A:C,3,0)</f>
        <v>30.45</v>
      </c>
      <c r="E184" s="188">
        <v>9.5323741007194193E-2</v>
      </c>
      <c r="F184">
        <v>28.6</v>
      </c>
    </row>
    <row r="185" spans="1:6">
      <c r="A185">
        <v>1718</v>
      </c>
      <c r="B185" t="s">
        <v>715</v>
      </c>
      <c r="C185">
        <v>8.08</v>
      </c>
      <c r="D185">
        <f>VLOOKUP(A185,收盤價!A:C,3,0)</f>
        <v>8.86</v>
      </c>
      <c r="E185" s="188">
        <v>9.6534653465346454E-2</v>
      </c>
      <c r="F185">
        <v>28.85</v>
      </c>
    </row>
    <row r="186" spans="1:6">
      <c r="A186">
        <v>1720</v>
      </c>
      <c r="B186" t="s">
        <v>716</v>
      </c>
      <c r="C186">
        <v>25.1</v>
      </c>
      <c r="D186">
        <f>VLOOKUP(A186,收盤價!A:C,3,0)</f>
        <v>35.15</v>
      </c>
      <c r="E186" s="188">
        <v>0.40039840637450186</v>
      </c>
      <c r="F186">
        <v>84.09</v>
      </c>
    </row>
    <row r="187" spans="1:6">
      <c r="A187">
        <v>1721</v>
      </c>
      <c r="B187" t="s">
        <v>717</v>
      </c>
      <c r="C187">
        <v>9.2100000000000009</v>
      </c>
      <c r="D187">
        <f>VLOOKUP(A187,收盤價!A:C,3,0)</f>
        <v>10.9</v>
      </c>
      <c r="E187" s="188">
        <v>0.18349619978284468</v>
      </c>
      <c r="F187">
        <v>49.12</v>
      </c>
    </row>
    <row r="188" spans="1:6">
      <c r="A188">
        <v>1722</v>
      </c>
      <c r="B188" t="s">
        <v>718</v>
      </c>
      <c r="C188">
        <v>37.299999999999997</v>
      </c>
      <c r="D188">
        <f>VLOOKUP(A188,收盤價!A:C,3,0)</f>
        <v>40.549999999999997</v>
      </c>
      <c r="E188" s="188">
        <v>8.7131367292225204E-2</v>
      </c>
      <c r="F188">
        <v>26.52</v>
      </c>
    </row>
    <row r="189" spans="1:6">
      <c r="A189">
        <v>1723</v>
      </c>
      <c r="B189" t="s">
        <v>719</v>
      </c>
      <c r="C189">
        <v>91.6</v>
      </c>
      <c r="D189">
        <f>VLOOKUP(A189,收盤價!A:C,3,0)</f>
        <v>116</v>
      </c>
      <c r="E189" s="188">
        <v>0.26637554585152845</v>
      </c>
      <c r="F189">
        <v>66.099999999999994</v>
      </c>
    </row>
    <row r="190" spans="1:6">
      <c r="A190">
        <v>1724</v>
      </c>
      <c r="B190" t="s">
        <v>720</v>
      </c>
      <c r="C190">
        <v>11.25</v>
      </c>
      <c r="D190">
        <f>VLOOKUP(A190,收盤價!A:C,3,0)</f>
        <v>15.4</v>
      </c>
      <c r="E190" s="188">
        <v>0.36888888888888893</v>
      </c>
      <c r="F190">
        <v>81.5</v>
      </c>
    </row>
    <row r="191" spans="1:6">
      <c r="A191">
        <v>1725</v>
      </c>
      <c r="B191" t="s">
        <v>721</v>
      </c>
      <c r="C191">
        <v>11</v>
      </c>
      <c r="D191">
        <f>VLOOKUP(A191,收盤價!A:C,3,0)</f>
        <v>14.4</v>
      </c>
      <c r="E191" s="188">
        <v>0.30909090909090914</v>
      </c>
      <c r="F191">
        <v>73.23</v>
      </c>
    </row>
    <row r="192" spans="1:6">
      <c r="A192">
        <v>1726</v>
      </c>
      <c r="B192" t="s">
        <v>722</v>
      </c>
      <c r="C192">
        <v>64.3</v>
      </c>
      <c r="D192">
        <f>VLOOKUP(A192,收盤價!A:C,3,0)</f>
        <v>66.400000000000006</v>
      </c>
      <c r="E192" s="188">
        <v>3.2659409020217862E-2</v>
      </c>
      <c r="F192">
        <v>16.54</v>
      </c>
    </row>
    <row r="193" spans="1:6">
      <c r="A193">
        <v>1727</v>
      </c>
      <c r="B193" t="s">
        <v>723</v>
      </c>
      <c r="C193">
        <v>13.35</v>
      </c>
      <c r="D193">
        <f>VLOOKUP(A193,收盤價!A:C,3,0)</f>
        <v>15.15</v>
      </c>
      <c r="E193" s="188">
        <v>0.13483146067415736</v>
      </c>
      <c r="F193">
        <v>37.82</v>
      </c>
    </row>
    <row r="194" spans="1:6">
      <c r="A194">
        <v>1729</v>
      </c>
      <c r="B194" t="s">
        <v>724</v>
      </c>
      <c r="C194">
        <v>67.900000000000006</v>
      </c>
      <c r="D194">
        <f>VLOOKUP(A194,收盤價!A:C,3,0)</f>
        <v>77.599999999999994</v>
      </c>
      <c r="E194" s="188">
        <v>0.14285714285714268</v>
      </c>
      <c r="F194">
        <v>39.14</v>
      </c>
    </row>
    <row r="195" spans="1:6">
      <c r="A195">
        <v>1730</v>
      </c>
      <c r="B195" t="s">
        <v>725</v>
      </c>
      <c r="C195">
        <v>26.7</v>
      </c>
      <c r="D195">
        <f>VLOOKUP(A195,收盤價!A:C,3,0)</f>
        <v>33.6</v>
      </c>
      <c r="E195" s="188">
        <v>0.25842696629213491</v>
      </c>
      <c r="F195">
        <v>64.900000000000006</v>
      </c>
    </row>
    <row r="196" spans="1:6">
      <c r="A196">
        <v>1731</v>
      </c>
      <c r="B196" t="s">
        <v>726</v>
      </c>
      <c r="C196">
        <v>10.4</v>
      </c>
      <c r="D196">
        <f>VLOOKUP(A196,收盤價!A:C,3,0)</f>
        <v>13.6</v>
      </c>
      <c r="E196" s="188">
        <v>0.3076923076923076</v>
      </c>
      <c r="F196">
        <v>72.92</v>
      </c>
    </row>
    <row r="197" spans="1:6">
      <c r="A197">
        <v>1732</v>
      </c>
      <c r="B197" t="s">
        <v>727</v>
      </c>
      <c r="C197">
        <v>11.05</v>
      </c>
      <c r="D197">
        <f>VLOOKUP(A197,收盤價!A:C,3,0)</f>
        <v>13</v>
      </c>
      <c r="E197" s="188">
        <v>0.17647058823529405</v>
      </c>
      <c r="F197">
        <v>47.22</v>
      </c>
    </row>
    <row r="198" spans="1:6">
      <c r="A198">
        <v>1733</v>
      </c>
      <c r="B198" t="s">
        <v>728</v>
      </c>
      <c r="C198">
        <v>33.25</v>
      </c>
      <c r="D198">
        <f>VLOOKUP(A198,收盤價!A:C,3,0)</f>
        <v>41.95</v>
      </c>
      <c r="E198" s="188">
        <v>0.26165413533834597</v>
      </c>
      <c r="F198">
        <v>65.400000000000006</v>
      </c>
    </row>
    <row r="199" spans="1:6">
      <c r="A199">
        <v>1734</v>
      </c>
      <c r="B199" t="s">
        <v>729</v>
      </c>
      <c r="C199">
        <v>21.4</v>
      </c>
      <c r="D199">
        <f>VLOOKUP(A199,收盤價!A:C,3,0)</f>
        <v>29.6</v>
      </c>
      <c r="E199" s="188">
        <v>0.3831775700934581</v>
      </c>
      <c r="F199">
        <v>83.02</v>
      </c>
    </row>
    <row r="200" spans="1:6">
      <c r="A200">
        <v>1735</v>
      </c>
      <c r="B200" t="s">
        <v>730</v>
      </c>
      <c r="C200">
        <v>10.95</v>
      </c>
      <c r="D200">
        <f>VLOOKUP(A200,收盤價!A:C,3,0)</f>
        <v>11.8</v>
      </c>
      <c r="E200" s="188">
        <v>7.7625570776255842E-2</v>
      </c>
      <c r="F200">
        <v>24.05</v>
      </c>
    </row>
    <row r="201" spans="1:6">
      <c r="A201">
        <v>1736</v>
      </c>
      <c r="B201" t="s">
        <v>731</v>
      </c>
      <c r="C201">
        <v>40.5</v>
      </c>
      <c r="D201">
        <f>VLOOKUP(A201,收盤價!A:C,3,0)</f>
        <v>53</v>
      </c>
      <c r="E201" s="188">
        <v>0.30864197530864196</v>
      </c>
      <c r="F201">
        <v>73.040000000000006</v>
      </c>
    </row>
    <row r="202" spans="1:6">
      <c r="A202">
        <v>1737</v>
      </c>
      <c r="B202" t="s">
        <v>732</v>
      </c>
      <c r="C202">
        <v>18.350000000000001</v>
      </c>
      <c r="D202">
        <f>VLOOKUP(A202,收盤價!A:C,3,0)</f>
        <v>24.7</v>
      </c>
      <c r="E202" s="188">
        <v>0.34604904632152572</v>
      </c>
      <c r="F202">
        <v>78.540000000000006</v>
      </c>
    </row>
    <row r="203" spans="1:6">
      <c r="A203">
        <v>1742</v>
      </c>
      <c r="B203" t="s">
        <v>542</v>
      </c>
      <c r="C203">
        <v>10.45</v>
      </c>
      <c r="D203">
        <f>VLOOKUP(A203,收盤價!A:C,3,0)</f>
        <v>12.65</v>
      </c>
      <c r="E203" s="188">
        <v>0.21052631578947381</v>
      </c>
      <c r="F203">
        <v>55.43</v>
      </c>
    </row>
    <row r="204" spans="1:6">
      <c r="A204">
        <v>1752</v>
      </c>
      <c r="B204" t="s">
        <v>272</v>
      </c>
      <c r="C204">
        <v>35</v>
      </c>
      <c r="D204">
        <f>VLOOKUP(A204,收盤價!A:C,3,0)</f>
        <v>44.5</v>
      </c>
      <c r="E204" s="188">
        <v>0.27142857142857141</v>
      </c>
      <c r="F204">
        <v>66.599999999999994</v>
      </c>
    </row>
    <row r="205" spans="1:6">
      <c r="A205">
        <v>1762</v>
      </c>
      <c r="B205" t="s">
        <v>733</v>
      </c>
      <c r="C205">
        <v>25.65</v>
      </c>
      <c r="D205">
        <f>VLOOKUP(A205,收盤價!A:C,3,0)</f>
        <v>31.9</v>
      </c>
      <c r="E205" s="188">
        <v>0.24366471734892789</v>
      </c>
      <c r="F205">
        <v>62.06</v>
      </c>
    </row>
    <row r="206" spans="1:6">
      <c r="A206">
        <v>1773</v>
      </c>
      <c r="B206" t="s">
        <v>734</v>
      </c>
      <c r="C206">
        <v>37.35</v>
      </c>
      <c r="D206">
        <f>VLOOKUP(A206,收盤價!A:C,3,0)</f>
        <v>42.3</v>
      </c>
      <c r="E206" s="188">
        <v>0.13253012048192758</v>
      </c>
      <c r="F206">
        <v>37.31</v>
      </c>
    </row>
    <row r="207" spans="1:6">
      <c r="A207">
        <v>1777</v>
      </c>
      <c r="B207" t="s">
        <v>273</v>
      </c>
      <c r="C207">
        <v>65.8</v>
      </c>
      <c r="D207">
        <f>VLOOKUP(A207,收盤價!A:C,3,0)</f>
        <v>77.900000000000006</v>
      </c>
      <c r="E207" s="188">
        <v>0.18389057750759893</v>
      </c>
      <c r="F207">
        <v>49.49</v>
      </c>
    </row>
    <row r="208" spans="1:6">
      <c r="A208">
        <v>1781</v>
      </c>
      <c r="B208" t="s">
        <v>1451</v>
      </c>
      <c r="C208">
        <v>21.95</v>
      </c>
      <c r="D208">
        <f>VLOOKUP(A208,收盤價!A:C,3,0)</f>
        <v>24.5</v>
      </c>
      <c r="E208" s="188">
        <v>0.11617312072892942</v>
      </c>
      <c r="F208">
        <v>33.270000000000003</v>
      </c>
    </row>
    <row r="209" spans="1:6">
      <c r="A209">
        <v>1783</v>
      </c>
      <c r="B209" t="s">
        <v>735</v>
      </c>
      <c r="C209">
        <v>16.8</v>
      </c>
      <c r="D209">
        <f>VLOOKUP(A209,收盤價!A:C,3,0)</f>
        <v>24.55</v>
      </c>
      <c r="E209" s="188">
        <v>0.46130952380952378</v>
      </c>
      <c r="F209">
        <v>88.89</v>
      </c>
    </row>
    <row r="210" spans="1:6">
      <c r="A210">
        <v>1784</v>
      </c>
      <c r="B210" t="s">
        <v>1452</v>
      </c>
      <c r="C210">
        <v>20.8</v>
      </c>
      <c r="D210">
        <f>VLOOKUP(A210,收盤價!A:C,3,0)</f>
        <v>33.200000000000003</v>
      </c>
      <c r="E210" s="188">
        <v>0.59615384615384626</v>
      </c>
      <c r="F210">
        <v>94</v>
      </c>
    </row>
    <row r="211" spans="1:6">
      <c r="A211">
        <v>1785</v>
      </c>
      <c r="B211" t="s">
        <v>1453</v>
      </c>
      <c r="C211">
        <v>16.95</v>
      </c>
      <c r="D211">
        <f>VLOOKUP(A211,收盤價!A:C,3,0)</f>
        <v>19.8</v>
      </c>
      <c r="E211" s="188">
        <v>0.16814159292035408</v>
      </c>
      <c r="F211">
        <v>44.89</v>
      </c>
    </row>
    <row r="212" spans="1:6">
      <c r="A212">
        <v>1786</v>
      </c>
      <c r="B212" t="s">
        <v>736</v>
      </c>
      <c r="C212">
        <v>45.45</v>
      </c>
      <c r="D212">
        <f>VLOOKUP(A212,收盤價!A:C,3,0)</f>
        <v>58.6</v>
      </c>
      <c r="E212" s="188">
        <v>0.28932893289328926</v>
      </c>
      <c r="F212">
        <v>69.89</v>
      </c>
    </row>
    <row r="213" spans="1:6">
      <c r="A213">
        <v>1787</v>
      </c>
      <c r="B213" t="s">
        <v>274</v>
      </c>
      <c r="C213">
        <v>16.899999999999999</v>
      </c>
      <c r="D213">
        <f>VLOOKUP(A213,收盤價!A:C,3,0)</f>
        <v>21</v>
      </c>
      <c r="E213" s="188">
        <v>0.24260355029585809</v>
      </c>
      <c r="F213">
        <v>61.74</v>
      </c>
    </row>
    <row r="214" spans="1:6">
      <c r="A214">
        <v>1788</v>
      </c>
      <c r="B214" t="s">
        <v>1454</v>
      </c>
      <c r="C214">
        <v>82.1</v>
      </c>
      <c r="D214">
        <f>VLOOKUP(A214,收盤價!A:C,3,0)</f>
        <v>90</v>
      </c>
      <c r="E214" s="188">
        <v>9.6224116930572548E-2</v>
      </c>
      <c r="F214">
        <v>28.72</v>
      </c>
    </row>
    <row r="215" spans="1:6">
      <c r="A215">
        <v>1789</v>
      </c>
      <c r="B215" t="s">
        <v>737</v>
      </c>
      <c r="C215">
        <v>32.15</v>
      </c>
      <c r="D215">
        <f>VLOOKUP(A215,收盤價!A:C,3,0)</f>
        <v>46.2</v>
      </c>
      <c r="E215" s="188">
        <v>0.43701399688958026</v>
      </c>
      <c r="F215">
        <v>87.18</v>
      </c>
    </row>
    <row r="216" spans="1:6">
      <c r="A216">
        <v>1795</v>
      </c>
      <c r="B216" t="s">
        <v>1455</v>
      </c>
      <c r="C216">
        <v>58.3</v>
      </c>
      <c r="D216">
        <f>VLOOKUP(A216,收盤價!A:C,3,0)</f>
        <v>70</v>
      </c>
      <c r="E216" s="188">
        <v>0.20068610634648376</v>
      </c>
      <c r="F216">
        <v>53.16</v>
      </c>
    </row>
    <row r="217" spans="1:6">
      <c r="A217">
        <v>1799</v>
      </c>
      <c r="B217" t="s">
        <v>1864</v>
      </c>
      <c r="C217">
        <v>23.25</v>
      </c>
      <c r="D217">
        <f>VLOOKUP(A217,收盤價!A:C,3,0)</f>
        <v>34.4</v>
      </c>
      <c r="E217" s="188">
        <v>0.47956989247311821</v>
      </c>
      <c r="F217">
        <v>89.84</v>
      </c>
    </row>
    <row r="218" spans="1:6">
      <c r="A218">
        <v>1802</v>
      </c>
      <c r="B218" t="s">
        <v>738</v>
      </c>
      <c r="C218">
        <v>10.8</v>
      </c>
      <c r="D218">
        <f>VLOOKUP(A218,收盤價!A:C,3,0)</f>
        <v>12.9</v>
      </c>
      <c r="E218" s="188">
        <v>0.19444444444444439</v>
      </c>
      <c r="F218">
        <v>51.52</v>
      </c>
    </row>
    <row r="219" spans="1:6">
      <c r="A219">
        <v>1805</v>
      </c>
      <c r="B219" t="s">
        <v>739</v>
      </c>
      <c r="C219">
        <v>7.8</v>
      </c>
      <c r="D219">
        <f>VLOOKUP(A219,收盤價!A:C,3,0)</f>
        <v>7.62</v>
      </c>
      <c r="E219" s="188">
        <v>-2.307692307692304E-2</v>
      </c>
      <c r="F219">
        <v>9.91</v>
      </c>
    </row>
    <row r="220" spans="1:6">
      <c r="A220">
        <v>1806</v>
      </c>
      <c r="B220" t="s">
        <v>740</v>
      </c>
      <c r="C220">
        <v>5.76</v>
      </c>
      <c r="D220">
        <f>VLOOKUP(A220,收盤價!A:C,3,0)</f>
        <v>7.08</v>
      </c>
      <c r="E220" s="188">
        <v>0.22916666666666671</v>
      </c>
      <c r="F220">
        <v>59.15</v>
      </c>
    </row>
    <row r="221" spans="1:6">
      <c r="A221">
        <v>1808</v>
      </c>
      <c r="B221" t="s">
        <v>741</v>
      </c>
      <c r="C221">
        <v>23.05</v>
      </c>
      <c r="D221">
        <f>VLOOKUP(A221,收盤價!A:C,3,0)</f>
        <v>27.6</v>
      </c>
      <c r="E221" s="188">
        <v>0.19739696312364427</v>
      </c>
      <c r="F221">
        <v>52.27</v>
      </c>
    </row>
    <row r="222" spans="1:6">
      <c r="A222">
        <v>1809</v>
      </c>
      <c r="B222" t="s">
        <v>742</v>
      </c>
      <c r="C222">
        <v>8.5</v>
      </c>
      <c r="D222">
        <f>VLOOKUP(A222,收盤價!A:C,3,0)</f>
        <v>10.3</v>
      </c>
      <c r="E222" s="188">
        <v>0.21176470588235302</v>
      </c>
      <c r="F222">
        <v>55.87</v>
      </c>
    </row>
    <row r="223" spans="1:6">
      <c r="A223">
        <v>1810</v>
      </c>
      <c r="B223" t="s">
        <v>743</v>
      </c>
      <c r="C223">
        <v>6.9</v>
      </c>
      <c r="D223">
        <f>VLOOKUP(A223,收盤價!A:C,3,0)</f>
        <v>8.2799999999999994</v>
      </c>
      <c r="E223" s="188">
        <v>0.19999999999999984</v>
      </c>
      <c r="F223">
        <v>52.84</v>
      </c>
    </row>
    <row r="224" spans="1:6">
      <c r="A224">
        <v>1813</v>
      </c>
      <c r="B224" t="s">
        <v>276</v>
      </c>
      <c r="C224">
        <v>20.7</v>
      </c>
      <c r="D224">
        <f>VLOOKUP(A224,收盤價!A:C,3,0)</f>
        <v>25.2</v>
      </c>
      <c r="E224" s="188">
        <v>0.21739130434782608</v>
      </c>
      <c r="F224">
        <v>57.2</v>
      </c>
    </row>
    <row r="225" spans="1:6">
      <c r="A225">
        <v>1815</v>
      </c>
      <c r="B225" t="s">
        <v>1456</v>
      </c>
      <c r="C225">
        <v>8.82</v>
      </c>
      <c r="D225">
        <f>VLOOKUP(A225,收盤價!A:C,3,0)</f>
        <v>11.05</v>
      </c>
      <c r="E225" s="188">
        <v>0.25283446712018143</v>
      </c>
      <c r="F225">
        <v>63.57</v>
      </c>
    </row>
    <row r="226" spans="1:6">
      <c r="A226">
        <v>1817</v>
      </c>
      <c r="B226" t="s">
        <v>744</v>
      </c>
      <c r="C226">
        <v>28</v>
      </c>
      <c r="D226">
        <f>VLOOKUP(A226,收盤價!A:C,3,0)</f>
        <v>37.549999999999997</v>
      </c>
      <c r="E226" s="188">
        <v>0.34107142857142847</v>
      </c>
      <c r="F226">
        <v>77.709999999999994</v>
      </c>
    </row>
    <row r="227" spans="1:6">
      <c r="A227">
        <v>1902</v>
      </c>
      <c r="B227" t="s">
        <v>745</v>
      </c>
      <c r="C227">
        <v>9.51</v>
      </c>
      <c r="D227">
        <f>VLOOKUP(A227,收盤價!A:C,3,0)</f>
        <v>10.85</v>
      </c>
      <c r="E227" s="188">
        <v>0.14090431125131439</v>
      </c>
      <c r="F227">
        <v>38.950000000000003</v>
      </c>
    </row>
    <row r="228" spans="1:6">
      <c r="A228">
        <v>1903</v>
      </c>
      <c r="B228" t="s">
        <v>746</v>
      </c>
      <c r="C228">
        <v>24.8</v>
      </c>
      <c r="D228">
        <f>VLOOKUP(A228,收盤價!A:C,3,0)</f>
        <v>30.2</v>
      </c>
      <c r="E228" s="188">
        <v>0.21774193548387091</v>
      </c>
      <c r="F228">
        <v>57.26</v>
      </c>
    </row>
    <row r="229" spans="1:6">
      <c r="A229">
        <v>1904</v>
      </c>
      <c r="B229" t="s">
        <v>747</v>
      </c>
      <c r="C229">
        <v>10.7</v>
      </c>
      <c r="D229">
        <f>VLOOKUP(A229,收盤價!A:C,3,0)</f>
        <v>11.45</v>
      </c>
      <c r="E229" s="188">
        <v>7.0093457943925241E-2</v>
      </c>
      <c r="F229">
        <v>22.16</v>
      </c>
    </row>
    <row r="230" spans="1:6">
      <c r="A230">
        <v>1905</v>
      </c>
      <c r="B230" t="s">
        <v>1858</v>
      </c>
      <c r="C230">
        <v>7.62</v>
      </c>
      <c r="D230">
        <f>VLOOKUP(A230,收盤價!A:C,3,0)</f>
        <v>9.7799999999999994</v>
      </c>
      <c r="E230" s="188">
        <v>0.28346456692913374</v>
      </c>
      <c r="F230">
        <v>69.19</v>
      </c>
    </row>
    <row r="231" spans="1:6">
      <c r="A231">
        <v>1906</v>
      </c>
      <c r="B231" t="s">
        <v>748</v>
      </c>
      <c r="C231">
        <v>7.85</v>
      </c>
      <c r="D231">
        <f>VLOOKUP(A231,收盤價!A:C,3,0)</f>
        <v>7.81</v>
      </c>
      <c r="E231" s="188">
        <v>-5.0955414012738903E-3</v>
      </c>
      <c r="F231">
        <v>11.3</v>
      </c>
    </row>
    <row r="232" spans="1:6">
      <c r="A232">
        <v>1907</v>
      </c>
      <c r="B232" t="s">
        <v>749</v>
      </c>
      <c r="C232">
        <v>8.6199999999999992</v>
      </c>
      <c r="D232">
        <f>VLOOKUP(A232,收盤價!A:C,3,0)</f>
        <v>10.55</v>
      </c>
      <c r="E232" s="188">
        <v>0.22389791183294683</v>
      </c>
      <c r="F232">
        <v>58.33</v>
      </c>
    </row>
    <row r="233" spans="1:6">
      <c r="A233">
        <v>1909</v>
      </c>
      <c r="B233" t="s">
        <v>750</v>
      </c>
      <c r="C233">
        <v>10.1</v>
      </c>
      <c r="D233">
        <f>VLOOKUP(A233,收盤價!A:C,3,0)</f>
        <v>11.45</v>
      </c>
      <c r="E233" s="188">
        <v>0.13366336633663364</v>
      </c>
      <c r="F233">
        <v>37.5</v>
      </c>
    </row>
    <row r="234" spans="1:6">
      <c r="A234">
        <v>2002</v>
      </c>
      <c r="B234" t="s">
        <v>751</v>
      </c>
      <c r="C234">
        <v>18</v>
      </c>
      <c r="D234">
        <f>VLOOKUP(A234,收盤價!A:C,3,0)</f>
        <v>19.649999999999999</v>
      </c>
      <c r="E234" s="188">
        <v>9.1666666666666591E-2</v>
      </c>
      <c r="F234">
        <v>27.71</v>
      </c>
    </row>
    <row r="235" spans="1:6">
      <c r="A235">
        <v>2006</v>
      </c>
      <c r="B235" t="s">
        <v>753</v>
      </c>
      <c r="C235">
        <v>16.8</v>
      </c>
      <c r="D235">
        <f>VLOOKUP(A235,收盤價!A:C,3,0)</f>
        <v>17.850000000000001</v>
      </c>
      <c r="E235" s="188">
        <v>6.2500000000000042E-2</v>
      </c>
      <c r="F235">
        <v>21.46</v>
      </c>
    </row>
    <row r="236" spans="1:6">
      <c r="A236">
        <v>2007</v>
      </c>
      <c r="B236" t="s">
        <v>754</v>
      </c>
      <c r="C236">
        <v>3.06</v>
      </c>
      <c r="D236">
        <f>VLOOKUP(A236,收盤價!A:C,3,0)</f>
        <v>4.5</v>
      </c>
      <c r="E236" s="188">
        <v>0.47058823529411764</v>
      </c>
      <c r="F236">
        <v>89.46</v>
      </c>
    </row>
    <row r="237" spans="1:6">
      <c r="A237">
        <v>2008</v>
      </c>
      <c r="B237" t="s">
        <v>755</v>
      </c>
      <c r="C237">
        <v>6.78</v>
      </c>
      <c r="D237">
        <f>VLOOKUP(A237,收盤價!A:C,3,0)</f>
        <v>8.6</v>
      </c>
      <c r="E237" s="188">
        <v>0.26843657817109134</v>
      </c>
      <c r="F237">
        <v>66.290000000000006</v>
      </c>
    </row>
    <row r="238" spans="1:6">
      <c r="A238">
        <v>2009</v>
      </c>
      <c r="B238" t="s">
        <v>756</v>
      </c>
      <c r="C238">
        <v>5.61</v>
      </c>
      <c r="D238">
        <f>VLOOKUP(A238,收盤價!A:C,3,0)</f>
        <v>7.25</v>
      </c>
      <c r="E238" s="188">
        <v>0.29233511586452754</v>
      </c>
      <c r="F238">
        <v>70.39</v>
      </c>
    </row>
    <row r="239" spans="1:6">
      <c r="A239">
        <v>2010</v>
      </c>
      <c r="B239" t="s">
        <v>757</v>
      </c>
      <c r="C239">
        <v>8.6</v>
      </c>
      <c r="D239">
        <f>VLOOKUP(A239,收盤價!A:C,3,0)</f>
        <v>9.48</v>
      </c>
      <c r="E239" s="188">
        <v>0.10232558139534893</v>
      </c>
      <c r="F239">
        <v>29.92</v>
      </c>
    </row>
    <row r="240" spans="1:6">
      <c r="A240">
        <v>2012</v>
      </c>
      <c r="B240" t="s">
        <v>758</v>
      </c>
      <c r="C240">
        <v>12.4</v>
      </c>
      <c r="D240">
        <f>VLOOKUP(A240,收盤價!A:C,3,0)</f>
        <v>14</v>
      </c>
      <c r="E240" s="188">
        <v>0.1290322580645161</v>
      </c>
      <c r="F240">
        <v>36.43</v>
      </c>
    </row>
    <row r="241" spans="1:6">
      <c r="A241">
        <v>2013</v>
      </c>
      <c r="B241" t="s">
        <v>759</v>
      </c>
      <c r="C241">
        <v>16.899999999999999</v>
      </c>
      <c r="D241">
        <f>VLOOKUP(A241,收盤價!A:C,3,0)</f>
        <v>19.05</v>
      </c>
      <c r="E241" s="188">
        <v>0.12721893491124275</v>
      </c>
      <c r="F241">
        <v>36.17</v>
      </c>
    </row>
    <row r="242" spans="1:6">
      <c r="A242">
        <v>2014</v>
      </c>
      <c r="B242" t="s">
        <v>760</v>
      </c>
      <c r="C242">
        <v>3.77</v>
      </c>
      <c r="D242">
        <f>VLOOKUP(A242,收盤價!A:C,3,0)</f>
        <v>4.7699999999999996</v>
      </c>
      <c r="E242" s="188">
        <v>0.26525198938992028</v>
      </c>
      <c r="F242">
        <v>65.78</v>
      </c>
    </row>
    <row r="243" spans="1:6">
      <c r="A243">
        <v>2015</v>
      </c>
      <c r="B243" t="s">
        <v>761</v>
      </c>
      <c r="C243">
        <v>33.799999999999997</v>
      </c>
      <c r="D243">
        <f>VLOOKUP(A243,收盤價!A:C,3,0)</f>
        <v>38.35</v>
      </c>
      <c r="E243" s="188">
        <v>0.13461538461538475</v>
      </c>
      <c r="F243">
        <v>37.75</v>
      </c>
    </row>
    <row r="244" spans="1:6">
      <c r="A244">
        <v>2017</v>
      </c>
      <c r="B244" t="s">
        <v>762</v>
      </c>
      <c r="C244">
        <v>4.88</v>
      </c>
      <c r="D244">
        <f>VLOOKUP(A244,收盤價!A:C,3,0)</f>
        <v>5.71</v>
      </c>
      <c r="E244" s="188">
        <v>0.17008196721311478</v>
      </c>
      <c r="F244">
        <v>45.39</v>
      </c>
    </row>
    <row r="245" spans="1:6">
      <c r="A245">
        <v>2020</v>
      </c>
      <c r="B245" t="s">
        <v>763</v>
      </c>
      <c r="C245">
        <v>13.25</v>
      </c>
      <c r="D245">
        <f>VLOOKUP(A245,收盤價!A:C,3,0)</f>
        <v>13.3</v>
      </c>
      <c r="E245" s="188">
        <v>3.7735849056604312E-3</v>
      </c>
      <c r="F245">
        <v>12.82</v>
      </c>
    </row>
    <row r="246" spans="1:6">
      <c r="A246">
        <v>2022</v>
      </c>
      <c r="B246" t="s">
        <v>764</v>
      </c>
      <c r="C246">
        <v>3.59</v>
      </c>
      <c r="D246">
        <f>VLOOKUP(A246,收盤價!A:C,3,0)</f>
        <v>4.12</v>
      </c>
      <c r="E246" s="188">
        <v>0.14763231197771595</v>
      </c>
      <c r="F246">
        <v>40.47</v>
      </c>
    </row>
    <row r="247" spans="1:6">
      <c r="A247">
        <v>2023</v>
      </c>
      <c r="B247" t="s">
        <v>765</v>
      </c>
      <c r="C247">
        <v>7.12</v>
      </c>
      <c r="D247">
        <f>VLOOKUP(A247,收盤價!A:C,3,0)</f>
        <v>7.77</v>
      </c>
      <c r="E247" s="188">
        <v>9.1292134831460592E-2</v>
      </c>
      <c r="F247">
        <v>27.59</v>
      </c>
    </row>
    <row r="248" spans="1:6">
      <c r="A248">
        <v>2024</v>
      </c>
      <c r="B248" t="s">
        <v>766</v>
      </c>
      <c r="C248">
        <v>6.68</v>
      </c>
      <c r="D248">
        <f>VLOOKUP(A248,收盤價!A:C,3,0)</f>
        <v>7.18</v>
      </c>
      <c r="E248" s="188">
        <v>7.4850299401197612E-2</v>
      </c>
      <c r="F248">
        <v>23.48</v>
      </c>
    </row>
    <row r="249" spans="1:6">
      <c r="A249">
        <v>2025</v>
      </c>
      <c r="B249" t="s">
        <v>767</v>
      </c>
      <c r="C249">
        <v>2.54</v>
      </c>
      <c r="D249">
        <f>VLOOKUP(A249,收盤價!A:C,3,0)</f>
        <v>2.73</v>
      </c>
      <c r="E249" s="188">
        <v>7.4803149606299191E-2</v>
      </c>
      <c r="F249">
        <v>23.42</v>
      </c>
    </row>
    <row r="250" spans="1:6">
      <c r="A250">
        <v>2027</v>
      </c>
      <c r="B250" t="s">
        <v>768</v>
      </c>
      <c r="C250">
        <v>13.6</v>
      </c>
      <c r="D250">
        <f>VLOOKUP(A250,收盤價!A:C,3,0)</f>
        <v>15</v>
      </c>
      <c r="E250" s="188">
        <v>0.10294117647058826</v>
      </c>
      <c r="F250">
        <v>30.11</v>
      </c>
    </row>
    <row r="251" spans="1:6">
      <c r="A251">
        <v>2028</v>
      </c>
      <c r="B251" t="s">
        <v>769</v>
      </c>
      <c r="C251">
        <v>1.27</v>
      </c>
      <c r="D251">
        <f>VLOOKUP(A251,收盤價!A:C,3,0)</f>
        <v>2.15</v>
      </c>
      <c r="E251" s="188">
        <v>0.69291338582677153</v>
      </c>
      <c r="F251">
        <v>96.4</v>
      </c>
    </row>
    <row r="252" spans="1:6">
      <c r="A252">
        <v>2029</v>
      </c>
      <c r="B252" t="s">
        <v>770</v>
      </c>
      <c r="C252">
        <v>16.850000000000001</v>
      </c>
      <c r="D252">
        <f>VLOOKUP(A252,收盤價!A:C,3,0)</f>
        <v>17.8</v>
      </c>
      <c r="E252" s="188">
        <v>5.6379821958456929E-2</v>
      </c>
      <c r="F252">
        <v>20.329999999999998</v>
      </c>
    </row>
    <row r="253" spans="1:6">
      <c r="A253">
        <v>2030</v>
      </c>
      <c r="B253" t="s">
        <v>771</v>
      </c>
      <c r="C253">
        <v>8.9700000000000006</v>
      </c>
      <c r="D253">
        <f>VLOOKUP(A253,收盤價!A:C,3,0)</f>
        <v>9.34</v>
      </c>
      <c r="E253" s="188">
        <v>4.1248606465997678E-2</v>
      </c>
      <c r="F253">
        <v>17.61</v>
      </c>
    </row>
    <row r="254" spans="1:6">
      <c r="A254">
        <v>2031</v>
      </c>
      <c r="B254" t="s">
        <v>772</v>
      </c>
      <c r="C254">
        <v>10.8</v>
      </c>
      <c r="D254">
        <f>VLOOKUP(A254,收盤價!A:C,3,0)</f>
        <v>13.55</v>
      </c>
      <c r="E254" s="188">
        <v>0.25462962962962959</v>
      </c>
      <c r="F254">
        <v>63.95</v>
      </c>
    </row>
    <row r="255" spans="1:6">
      <c r="A255">
        <v>2032</v>
      </c>
      <c r="B255" t="s">
        <v>773</v>
      </c>
      <c r="C255">
        <v>7.69</v>
      </c>
      <c r="D255">
        <f>VLOOKUP(A255,收盤價!A:C,3,0)</f>
        <v>8.64</v>
      </c>
      <c r="E255" s="188">
        <v>0.12353706111833551</v>
      </c>
      <c r="F255">
        <v>35.35</v>
      </c>
    </row>
    <row r="256" spans="1:6">
      <c r="A256">
        <v>2033</v>
      </c>
      <c r="B256" t="s">
        <v>774</v>
      </c>
      <c r="C256">
        <v>8.33</v>
      </c>
      <c r="D256" t="str">
        <f>VLOOKUP(A256,收盤價!A:C,3,0)</f>
        <v>--</v>
      </c>
      <c r="F256">
        <v>2.27</v>
      </c>
    </row>
    <row r="257" spans="1:6">
      <c r="A257">
        <v>2034</v>
      </c>
      <c r="B257" t="s">
        <v>775</v>
      </c>
      <c r="C257">
        <v>15.8</v>
      </c>
      <c r="D257">
        <f>VLOOKUP(A257,收盤價!A:C,3,0)</f>
        <v>19.100000000000001</v>
      </c>
      <c r="E257" s="188">
        <v>0.20886075949367092</v>
      </c>
      <c r="F257">
        <v>54.92</v>
      </c>
    </row>
    <row r="258" spans="1:6">
      <c r="A258">
        <v>2035</v>
      </c>
      <c r="B258" t="s">
        <v>1457</v>
      </c>
      <c r="C258">
        <v>48.3</v>
      </c>
      <c r="D258">
        <f>VLOOKUP(A258,收盤價!A:C,3,0)</f>
        <v>45</v>
      </c>
      <c r="E258" s="188">
        <v>-6.8322981366459576E-2</v>
      </c>
      <c r="F258">
        <v>6.82</v>
      </c>
    </row>
    <row r="259" spans="1:6">
      <c r="A259">
        <v>2038</v>
      </c>
      <c r="B259" t="s">
        <v>776</v>
      </c>
      <c r="C259">
        <v>5.17</v>
      </c>
      <c r="D259">
        <f>VLOOKUP(A259,收盤價!A:C,3,0)</f>
        <v>5.63</v>
      </c>
      <c r="E259" s="188">
        <v>8.8974854932301742E-2</v>
      </c>
      <c r="F259">
        <v>27.21</v>
      </c>
    </row>
    <row r="260" spans="1:6">
      <c r="A260">
        <v>2049</v>
      </c>
      <c r="B260" t="s">
        <v>777</v>
      </c>
      <c r="C260">
        <v>150</v>
      </c>
      <c r="D260">
        <f>VLOOKUP(A260,收盤價!A:C,3,0)</f>
        <v>164.5</v>
      </c>
      <c r="E260" s="188">
        <v>9.6666666666666665E-2</v>
      </c>
      <c r="F260">
        <v>28.91</v>
      </c>
    </row>
    <row r="261" spans="1:6">
      <c r="A261">
        <v>2059</v>
      </c>
      <c r="B261" t="s">
        <v>778</v>
      </c>
      <c r="C261">
        <v>364.5</v>
      </c>
      <c r="D261">
        <f>VLOOKUP(A261,收盤價!A:C,3,0)</f>
        <v>400</v>
      </c>
      <c r="E261" s="188">
        <v>9.7393689986282575E-2</v>
      </c>
      <c r="F261">
        <v>28.98</v>
      </c>
    </row>
    <row r="262" spans="1:6">
      <c r="A262">
        <v>2061</v>
      </c>
      <c r="B262" t="s">
        <v>277</v>
      </c>
      <c r="C262">
        <v>10.6</v>
      </c>
      <c r="D262">
        <f>VLOOKUP(A262,收盤價!A:C,3,0)</f>
        <v>14.6</v>
      </c>
      <c r="E262" s="188">
        <v>0.37735849056603776</v>
      </c>
      <c r="F262">
        <v>82.26</v>
      </c>
    </row>
    <row r="263" spans="1:6">
      <c r="A263">
        <v>2062</v>
      </c>
      <c r="B263" t="s">
        <v>779</v>
      </c>
      <c r="C263">
        <v>31.2</v>
      </c>
      <c r="D263">
        <f>VLOOKUP(A263,收盤價!A:C,3,0)</f>
        <v>45.1</v>
      </c>
      <c r="E263" s="188">
        <v>0.4455128205128206</v>
      </c>
      <c r="F263">
        <v>87.88</v>
      </c>
    </row>
    <row r="264" spans="1:6">
      <c r="A264">
        <v>2063</v>
      </c>
      <c r="B264" t="s">
        <v>278</v>
      </c>
      <c r="C264">
        <v>22.8</v>
      </c>
      <c r="D264">
        <f>VLOOKUP(A264,收盤價!A:C,3,0)</f>
        <v>23.8</v>
      </c>
      <c r="E264" s="188">
        <v>4.3859649122807015E-2</v>
      </c>
      <c r="F264">
        <v>18.309999999999999</v>
      </c>
    </row>
    <row r="265" spans="1:6">
      <c r="A265">
        <v>2064</v>
      </c>
      <c r="B265" t="s">
        <v>279</v>
      </c>
      <c r="C265">
        <v>15.15</v>
      </c>
      <c r="D265">
        <f>VLOOKUP(A265,收盤價!A:C,3,0)</f>
        <v>17.899999999999999</v>
      </c>
      <c r="E265" s="188">
        <v>0.18151815181518138</v>
      </c>
      <c r="F265">
        <v>48.3</v>
      </c>
    </row>
    <row r="266" spans="1:6">
      <c r="A266">
        <v>2066</v>
      </c>
      <c r="B266" t="s">
        <v>280</v>
      </c>
      <c r="C266">
        <v>99.6</v>
      </c>
      <c r="D266">
        <f>VLOOKUP(A266,收盤價!A:C,3,0)</f>
        <v>105</v>
      </c>
      <c r="E266" s="188">
        <v>5.4216867469879582E-2</v>
      </c>
      <c r="F266">
        <v>19.89</v>
      </c>
    </row>
    <row r="267" spans="1:6">
      <c r="A267">
        <v>2067</v>
      </c>
      <c r="B267" t="s">
        <v>1458</v>
      </c>
      <c r="C267">
        <v>16</v>
      </c>
      <c r="D267">
        <f>VLOOKUP(A267,收盤價!A:C,3,0)</f>
        <v>16</v>
      </c>
      <c r="E267" s="188">
        <v>0</v>
      </c>
      <c r="F267">
        <v>11.68</v>
      </c>
    </row>
    <row r="268" spans="1:6">
      <c r="A268">
        <v>2101</v>
      </c>
      <c r="B268" t="s">
        <v>780</v>
      </c>
      <c r="C268">
        <v>25.3</v>
      </c>
      <c r="D268">
        <f>VLOOKUP(A268,收盤價!A:C,3,0)</f>
        <v>27.9</v>
      </c>
      <c r="E268" s="188">
        <v>0.10276679841897224</v>
      </c>
      <c r="F268">
        <v>30.05</v>
      </c>
    </row>
    <row r="269" spans="1:6">
      <c r="A269">
        <v>2102</v>
      </c>
      <c r="B269" t="s">
        <v>781</v>
      </c>
      <c r="C269">
        <v>12.35</v>
      </c>
      <c r="D269">
        <f>VLOOKUP(A269,收盤價!A:C,3,0)</f>
        <v>14.6</v>
      </c>
      <c r="E269" s="188">
        <v>0.18218623481781376</v>
      </c>
      <c r="F269">
        <v>48.48</v>
      </c>
    </row>
    <row r="270" spans="1:6">
      <c r="A270">
        <v>2103</v>
      </c>
      <c r="B270" t="s">
        <v>782</v>
      </c>
      <c r="C270">
        <v>18</v>
      </c>
      <c r="D270">
        <f>VLOOKUP(A270,收盤價!A:C,3,0)</f>
        <v>23</v>
      </c>
      <c r="E270" s="188">
        <v>0.27777777777777779</v>
      </c>
      <c r="F270">
        <v>68.180000000000007</v>
      </c>
    </row>
    <row r="271" spans="1:6">
      <c r="A271">
        <v>2104</v>
      </c>
      <c r="B271" t="s">
        <v>783</v>
      </c>
      <c r="C271">
        <v>25.6</v>
      </c>
      <c r="D271">
        <f>VLOOKUP(A271,收盤價!A:C,3,0)</f>
        <v>23.75</v>
      </c>
      <c r="E271" s="188">
        <v>-7.2265625000000056E-2</v>
      </c>
      <c r="F271">
        <v>6.57</v>
      </c>
    </row>
    <row r="272" spans="1:6">
      <c r="A272">
        <v>2105</v>
      </c>
      <c r="B272" t="s">
        <v>784</v>
      </c>
      <c r="C272">
        <v>50.1</v>
      </c>
      <c r="D272">
        <f>VLOOKUP(A272,收盤價!A:C,3,0)</f>
        <v>57.9</v>
      </c>
      <c r="E272" s="188">
        <v>0.15568862275449097</v>
      </c>
      <c r="F272">
        <v>42.49</v>
      </c>
    </row>
    <row r="273" spans="1:6">
      <c r="A273">
        <v>2106</v>
      </c>
      <c r="B273" t="s">
        <v>785</v>
      </c>
      <c r="C273">
        <v>43.2</v>
      </c>
      <c r="D273">
        <f>VLOOKUP(A273,收盤價!A:C,3,0)</f>
        <v>52.7</v>
      </c>
      <c r="E273" s="188">
        <v>0.21990740740740738</v>
      </c>
      <c r="F273">
        <v>57.64</v>
      </c>
    </row>
    <row r="274" spans="1:6">
      <c r="A274">
        <v>2107</v>
      </c>
      <c r="B274" t="s">
        <v>786</v>
      </c>
      <c r="C274">
        <v>18.2</v>
      </c>
      <c r="D274">
        <f>VLOOKUP(A274,收盤價!A:C,3,0)</f>
        <v>17.8</v>
      </c>
      <c r="E274" s="188">
        <v>-2.19780219780219E-2</v>
      </c>
      <c r="F274">
        <v>9.9700000000000006</v>
      </c>
    </row>
    <row r="275" spans="1:6">
      <c r="A275">
        <v>2108</v>
      </c>
      <c r="B275" t="s">
        <v>787</v>
      </c>
      <c r="C275">
        <v>21.6</v>
      </c>
      <c r="D275">
        <f>VLOOKUP(A275,收盤價!A:C,3,0)</f>
        <v>26.65</v>
      </c>
      <c r="E275" s="188">
        <v>0.23379629629629614</v>
      </c>
      <c r="F275">
        <v>60.29</v>
      </c>
    </row>
    <row r="276" spans="1:6">
      <c r="A276">
        <v>2109</v>
      </c>
      <c r="B276" t="s">
        <v>788</v>
      </c>
      <c r="C276">
        <v>12</v>
      </c>
      <c r="D276">
        <f>VLOOKUP(A276,收盤價!A:C,3,0)</f>
        <v>12.45</v>
      </c>
      <c r="E276" s="188">
        <v>3.7499999999999943E-2</v>
      </c>
      <c r="F276">
        <v>17.36</v>
      </c>
    </row>
    <row r="277" spans="1:6">
      <c r="A277">
        <v>2114</v>
      </c>
      <c r="B277" t="s">
        <v>789</v>
      </c>
      <c r="C277">
        <v>64</v>
      </c>
      <c r="D277">
        <f>VLOOKUP(A277,收盤價!A:C,3,0)</f>
        <v>78.3</v>
      </c>
      <c r="E277" s="188">
        <v>0.22343749999999996</v>
      </c>
      <c r="F277">
        <v>58.21</v>
      </c>
    </row>
    <row r="278" spans="1:6">
      <c r="A278">
        <v>2115</v>
      </c>
      <c r="B278" t="s">
        <v>790</v>
      </c>
      <c r="C278">
        <v>35.700000000000003</v>
      </c>
      <c r="D278">
        <f>VLOOKUP(A278,收盤價!A:C,3,0)</f>
        <v>43.2</v>
      </c>
      <c r="E278" s="188">
        <v>0.21008403361344535</v>
      </c>
      <c r="F278">
        <v>55.18</v>
      </c>
    </row>
    <row r="279" spans="1:6">
      <c r="A279">
        <v>2201</v>
      </c>
      <c r="B279" t="s">
        <v>791</v>
      </c>
      <c r="C279">
        <v>25.2</v>
      </c>
      <c r="D279">
        <f>VLOOKUP(A279,收盤價!A:C,3,0)</f>
        <v>32.700000000000003</v>
      </c>
      <c r="E279" s="188">
        <v>0.29761904761904778</v>
      </c>
      <c r="F279">
        <v>71.28</v>
      </c>
    </row>
    <row r="280" spans="1:6">
      <c r="A280">
        <v>2204</v>
      </c>
      <c r="B280" t="s">
        <v>792</v>
      </c>
      <c r="C280">
        <v>20.25</v>
      </c>
      <c r="D280">
        <f>VLOOKUP(A280,收盤價!A:C,3,0)</f>
        <v>23.15</v>
      </c>
      <c r="E280" s="188">
        <v>0.1432098765432098</v>
      </c>
      <c r="F280">
        <v>39.39</v>
      </c>
    </row>
    <row r="281" spans="1:6">
      <c r="A281">
        <v>2206</v>
      </c>
      <c r="B281" t="s">
        <v>793</v>
      </c>
      <c r="C281">
        <v>19.7</v>
      </c>
      <c r="D281">
        <f>VLOOKUP(A281,收盤價!A:C,3,0)</f>
        <v>20.75</v>
      </c>
      <c r="E281" s="188">
        <v>5.3299492385786837E-2</v>
      </c>
      <c r="F281">
        <v>19.7</v>
      </c>
    </row>
    <row r="282" spans="1:6">
      <c r="A282">
        <v>2207</v>
      </c>
      <c r="B282" t="s">
        <v>794</v>
      </c>
      <c r="C282">
        <v>320.5</v>
      </c>
      <c r="D282">
        <f>VLOOKUP(A282,收盤價!A:C,3,0)</f>
        <v>366.5</v>
      </c>
      <c r="E282" s="188">
        <v>0.14352574102964119</v>
      </c>
      <c r="F282">
        <v>39.58</v>
      </c>
    </row>
    <row r="283" spans="1:6">
      <c r="A283">
        <v>2208</v>
      </c>
      <c r="B283" t="s">
        <v>795</v>
      </c>
      <c r="C283">
        <v>11.45</v>
      </c>
      <c r="D283">
        <f>VLOOKUP(A283,收盤價!A:C,3,0)</f>
        <v>13.35</v>
      </c>
      <c r="E283" s="188">
        <v>0.16593886462882101</v>
      </c>
      <c r="F283">
        <v>44.51</v>
      </c>
    </row>
    <row r="284" spans="1:6">
      <c r="A284">
        <v>2221</v>
      </c>
      <c r="B284" t="s">
        <v>1459</v>
      </c>
      <c r="C284">
        <v>14</v>
      </c>
      <c r="D284">
        <f>VLOOKUP(A284,收盤價!A:C,3,0)</f>
        <v>20.05</v>
      </c>
      <c r="E284" s="188">
        <v>0.43214285714285722</v>
      </c>
      <c r="F284">
        <v>86.62</v>
      </c>
    </row>
    <row r="285" spans="1:6">
      <c r="A285">
        <v>2227</v>
      </c>
      <c r="B285" t="s">
        <v>796</v>
      </c>
      <c r="C285">
        <v>260</v>
      </c>
      <c r="D285">
        <f>VLOOKUP(A285,收盤價!A:C,3,0)</f>
        <v>256</v>
      </c>
      <c r="E285" s="188">
        <v>-1.5384615384615385E-2</v>
      </c>
      <c r="F285">
        <v>10.42</v>
      </c>
    </row>
    <row r="286" spans="1:6">
      <c r="A286">
        <v>2228</v>
      </c>
      <c r="B286" t="s">
        <v>797</v>
      </c>
      <c r="C286">
        <v>122</v>
      </c>
      <c r="D286">
        <f>VLOOKUP(A286,收盤價!A:C,3,0)</f>
        <v>169.5</v>
      </c>
      <c r="E286" s="188">
        <v>0.38934426229508196</v>
      </c>
      <c r="F286">
        <v>83.52</v>
      </c>
    </row>
    <row r="287" spans="1:6">
      <c r="A287">
        <v>2230</v>
      </c>
      <c r="B287" t="s">
        <v>281</v>
      </c>
      <c r="C287">
        <v>13.7</v>
      </c>
      <c r="D287">
        <f>VLOOKUP(A287,收盤價!A:C,3,0)</f>
        <v>14.3</v>
      </c>
      <c r="E287" s="188">
        <v>4.379562043795631E-2</v>
      </c>
      <c r="F287">
        <v>18.239999999999998</v>
      </c>
    </row>
    <row r="288" spans="1:6">
      <c r="A288">
        <v>2231</v>
      </c>
      <c r="B288" t="s">
        <v>798</v>
      </c>
      <c r="C288">
        <v>320.5</v>
      </c>
      <c r="D288">
        <f>VLOOKUP(A288,收盤價!A:C,3,0)</f>
        <v>389</v>
      </c>
      <c r="E288" s="188">
        <v>0.21372854914196568</v>
      </c>
      <c r="F288">
        <v>56.38</v>
      </c>
    </row>
    <row r="289" spans="1:6">
      <c r="A289">
        <v>2233</v>
      </c>
      <c r="B289" t="s">
        <v>282</v>
      </c>
      <c r="C289">
        <v>51.9</v>
      </c>
      <c r="D289">
        <f>VLOOKUP(A289,收盤價!A:C,3,0)</f>
        <v>65.099999999999994</v>
      </c>
      <c r="E289" s="188">
        <v>0.25433526011560686</v>
      </c>
      <c r="F289">
        <v>63.89</v>
      </c>
    </row>
    <row r="290" spans="1:6">
      <c r="A290">
        <v>2235</v>
      </c>
      <c r="B290" t="s">
        <v>283</v>
      </c>
      <c r="C290">
        <v>94.1</v>
      </c>
      <c r="D290">
        <f>VLOOKUP(A290,收盤價!A:C,3,0)</f>
        <v>120</v>
      </c>
      <c r="E290" s="188">
        <v>0.27523910733262497</v>
      </c>
      <c r="F290">
        <v>67.739999999999995</v>
      </c>
    </row>
    <row r="291" spans="1:6">
      <c r="A291">
        <v>2236</v>
      </c>
      <c r="B291" t="s">
        <v>799</v>
      </c>
      <c r="C291">
        <v>20.8</v>
      </c>
      <c r="D291">
        <f>VLOOKUP(A291,收盤價!A:C,3,0)</f>
        <v>34</v>
      </c>
      <c r="E291" s="188">
        <v>0.63461538461538458</v>
      </c>
      <c r="F291">
        <v>95.2</v>
      </c>
    </row>
    <row r="292" spans="1:6">
      <c r="A292">
        <v>2301</v>
      </c>
      <c r="B292" t="s">
        <v>800</v>
      </c>
      <c r="C292">
        <v>28</v>
      </c>
      <c r="D292">
        <f>VLOOKUP(A292,收盤價!A:C,3,0)</f>
        <v>32.25</v>
      </c>
      <c r="E292" s="188">
        <v>0.15178571428571427</v>
      </c>
      <c r="F292">
        <v>41.48</v>
      </c>
    </row>
    <row r="293" spans="1:6">
      <c r="A293">
        <v>2302</v>
      </c>
      <c r="B293" t="s">
        <v>801</v>
      </c>
      <c r="C293">
        <v>5.98</v>
      </c>
      <c r="D293">
        <f>VLOOKUP(A293,收盤價!A:C,3,0)</f>
        <v>6.45</v>
      </c>
      <c r="E293" s="188">
        <v>7.8595317725752456E-2</v>
      </c>
      <c r="F293">
        <v>24.31</v>
      </c>
    </row>
    <row r="294" spans="1:6">
      <c r="A294">
        <v>2303</v>
      </c>
      <c r="B294" t="s">
        <v>802</v>
      </c>
      <c r="C294">
        <v>10.050000000000001</v>
      </c>
      <c r="D294">
        <f>VLOOKUP(A294,收盤價!A:C,3,0)</f>
        <v>12</v>
      </c>
      <c r="E294" s="188">
        <v>0.19402985074626858</v>
      </c>
      <c r="F294">
        <v>51.39</v>
      </c>
    </row>
    <row r="295" spans="1:6">
      <c r="A295">
        <v>2305</v>
      </c>
      <c r="B295" t="s">
        <v>803</v>
      </c>
      <c r="C295">
        <v>4.97</v>
      </c>
      <c r="D295">
        <f>VLOOKUP(A295,收盤價!A:C,3,0)</f>
        <v>6.45</v>
      </c>
      <c r="E295" s="188">
        <v>0.29778672032193171</v>
      </c>
      <c r="F295">
        <v>71.400000000000006</v>
      </c>
    </row>
    <row r="296" spans="1:6">
      <c r="A296">
        <v>2308</v>
      </c>
      <c r="B296" t="s">
        <v>804</v>
      </c>
      <c r="C296">
        <v>140</v>
      </c>
      <c r="D296">
        <f>VLOOKUP(A296,收盤價!A:C,3,0)</f>
        <v>158.5</v>
      </c>
      <c r="E296" s="188">
        <v>0.13214285714285715</v>
      </c>
      <c r="F296">
        <v>37.18</v>
      </c>
    </row>
    <row r="297" spans="1:6">
      <c r="A297">
        <v>2311</v>
      </c>
      <c r="B297" t="s">
        <v>805</v>
      </c>
      <c r="C297">
        <v>31.8</v>
      </c>
      <c r="D297">
        <f>VLOOKUP(A297,收盤價!A:C,3,0)</f>
        <v>36.049999999999997</v>
      </c>
      <c r="E297" s="188">
        <v>0.13364779874213825</v>
      </c>
      <c r="F297">
        <v>37.44</v>
      </c>
    </row>
    <row r="298" spans="1:6">
      <c r="A298">
        <v>2312</v>
      </c>
      <c r="B298" t="s">
        <v>806</v>
      </c>
      <c r="C298">
        <v>9</v>
      </c>
      <c r="D298">
        <f>VLOOKUP(A298,收盤價!A:C,3,0)</f>
        <v>10.050000000000001</v>
      </c>
      <c r="E298" s="188">
        <v>0.11666666666666675</v>
      </c>
      <c r="F298">
        <v>33.33</v>
      </c>
    </row>
    <row r="299" spans="1:6">
      <c r="A299">
        <v>2313</v>
      </c>
      <c r="B299" t="s">
        <v>807</v>
      </c>
      <c r="C299">
        <v>18.95</v>
      </c>
      <c r="D299">
        <f>VLOOKUP(A299,收盤價!A:C,3,0)</f>
        <v>21.6</v>
      </c>
      <c r="E299" s="188">
        <v>0.13984168865435367</v>
      </c>
      <c r="F299">
        <v>38.83</v>
      </c>
    </row>
    <row r="300" spans="1:6">
      <c r="A300">
        <v>2314</v>
      </c>
      <c r="B300" t="s">
        <v>808</v>
      </c>
      <c r="C300">
        <v>6.98</v>
      </c>
      <c r="D300">
        <f>VLOOKUP(A300,收盤價!A:C,3,0)</f>
        <v>8.83</v>
      </c>
      <c r="E300" s="188">
        <v>0.26504297994269332</v>
      </c>
      <c r="F300">
        <v>65.72</v>
      </c>
    </row>
    <row r="301" spans="1:6">
      <c r="A301">
        <v>2316</v>
      </c>
      <c r="B301" t="s">
        <v>809</v>
      </c>
      <c r="C301">
        <v>22.55</v>
      </c>
      <c r="D301">
        <f>VLOOKUP(A301,收盤價!A:C,3,0)</f>
        <v>25.05</v>
      </c>
      <c r="E301" s="188">
        <v>0.11086474501108647</v>
      </c>
      <c r="F301">
        <v>31.69</v>
      </c>
    </row>
    <row r="302" spans="1:6">
      <c r="A302">
        <v>2317</v>
      </c>
      <c r="B302" t="s">
        <v>810</v>
      </c>
      <c r="C302">
        <v>81.599999999999994</v>
      </c>
      <c r="D302">
        <f>VLOOKUP(A302,收盤價!A:C,3,0)</f>
        <v>83.4</v>
      </c>
      <c r="E302" s="188">
        <v>2.2058823529411905E-2</v>
      </c>
      <c r="F302">
        <v>15.15</v>
      </c>
    </row>
    <row r="303" spans="1:6">
      <c r="A303">
        <v>2321</v>
      </c>
      <c r="B303" t="s">
        <v>811</v>
      </c>
      <c r="C303">
        <v>1.37</v>
      </c>
      <c r="D303">
        <f>VLOOKUP(A303,收盤價!A:C,3,0)</f>
        <v>2.85</v>
      </c>
      <c r="E303" s="188">
        <v>1.0802919708029197</v>
      </c>
      <c r="F303">
        <v>98.99</v>
      </c>
    </row>
    <row r="304" spans="1:6">
      <c r="A304">
        <v>2323</v>
      </c>
      <c r="B304" t="s">
        <v>812</v>
      </c>
      <c r="C304">
        <v>2.52</v>
      </c>
      <c r="D304">
        <f>VLOOKUP(A304,收盤價!A:C,3,0)</f>
        <v>3.61</v>
      </c>
      <c r="E304" s="188">
        <v>0.4325396825396825</v>
      </c>
      <c r="F304">
        <v>86.68</v>
      </c>
    </row>
    <row r="305" spans="1:6">
      <c r="A305">
        <v>2324</v>
      </c>
      <c r="B305" t="s">
        <v>813</v>
      </c>
      <c r="C305">
        <v>15.3</v>
      </c>
      <c r="D305">
        <f>VLOOKUP(A305,收盤價!A:C,3,0)</f>
        <v>19.850000000000001</v>
      </c>
      <c r="E305" s="188">
        <v>0.29738562091503273</v>
      </c>
      <c r="F305">
        <v>71.150000000000006</v>
      </c>
    </row>
    <row r="306" spans="1:6">
      <c r="A306">
        <v>2325</v>
      </c>
      <c r="B306" t="s">
        <v>814</v>
      </c>
      <c r="C306">
        <v>36.85</v>
      </c>
      <c r="D306">
        <f>VLOOKUP(A306,收盤價!A:C,3,0)</f>
        <v>43</v>
      </c>
      <c r="E306" s="188">
        <v>0.16689280868385342</v>
      </c>
      <c r="F306">
        <v>44.7</v>
      </c>
    </row>
    <row r="307" spans="1:6">
      <c r="A307">
        <v>2327</v>
      </c>
      <c r="B307" t="s">
        <v>815</v>
      </c>
      <c r="C307">
        <v>46.3</v>
      </c>
      <c r="D307">
        <f>VLOOKUP(A307,收盤價!A:C,3,0)</f>
        <v>49.9</v>
      </c>
      <c r="E307" s="188">
        <v>7.7753779697624231E-2</v>
      </c>
      <c r="F307">
        <v>24.12</v>
      </c>
    </row>
    <row r="308" spans="1:6">
      <c r="A308">
        <v>2328</v>
      </c>
      <c r="B308" t="s">
        <v>816</v>
      </c>
      <c r="C308">
        <v>10.65</v>
      </c>
      <c r="D308">
        <f>VLOOKUP(A308,收盤價!A:C,3,0)</f>
        <v>14</v>
      </c>
      <c r="E308" s="188">
        <v>0.31455399061032857</v>
      </c>
      <c r="F308">
        <v>74.239999999999995</v>
      </c>
    </row>
    <row r="309" spans="1:6">
      <c r="A309">
        <v>2329</v>
      </c>
      <c r="B309" t="s">
        <v>817</v>
      </c>
      <c r="C309">
        <v>10.1</v>
      </c>
      <c r="D309">
        <f>VLOOKUP(A309,收盤價!A:C,3,0)</f>
        <v>11.8</v>
      </c>
      <c r="E309" s="188">
        <v>0.16831683168316844</v>
      </c>
      <c r="F309">
        <v>45.01</v>
      </c>
    </row>
    <row r="310" spans="1:6">
      <c r="A310">
        <v>2330</v>
      </c>
      <c r="B310" t="s">
        <v>818</v>
      </c>
      <c r="C310">
        <v>115</v>
      </c>
      <c r="D310">
        <f>VLOOKUP(A310,收盤價!A:C,3,0)</f>
        <v>137.5</v>
      </c>
      <c r="E310" s="188">
        <v>0.19565217391304349</v>
      </c>
      <c r="F310">
        <v>51.83</v>
      </c>
    </row>
    <row r="311" spans="1:6">
      <c r="A311">
        <v>2331</v>
      </c>
      <c r="B311" t="s">
        <v>819</v>
      </c>
      <c r="C311">
        <v>16.2</v>
      </c>
      <c r="D311">
        <f>VLOOKUP(A311,收盤價!A:C,3,0)</f>
        <v>22.4</v>
      </c>
      <c r="E311" s="188">
        <v>0.38271604938271603</v>
      </c>
      <c r="F311">
        <v>82.89</v>
      </c>
    </row>
    <row r="312" spans="1:6">
      <c r="A312">
        <v>2332</v>
      </c>
      <c r="B312" t="s">
        <v>820</v>
      </c>
      <c r="C312">
        <v>8.36</v>
      </c>
      <c r="D312">
        <f>VLOOKUP(A312,收盤價!A:C,3,0)</f>
        <v>10.5</v>
      </c>
      <c r="E312" s="188">
        <v>0.2559808612440192</v>
      </c>
      <c r="F312">
        <v>64.459999999999994</v>
      </c>
    </row>
    <row r="313" spans="1:6">
      <c r="A313">
        <v>2337</v>
      </c>
      <c r="B313" t="s">
        <v>821</v>
      </c>
      <c r="C313">
        <v>3.95</v>
      </c>
      <c r="D313">
        <f>VLOOKUP(A313,收盤價!A:C,3,0)</f>
        <v>4.6399999999999997</v>
      </c>
      <c r="E313" s="188">
        <v>0.17468354430379734</v>
      </c>
      <c r="F313">
        <v>46.84</v>
      </c>
    </row>
    <row r="314" spans="1:6">
      <c r="A314">
        <v>2338</v>
      </c>
      <c r="B314" t="s">
        <v>822</v>
      </c>
      <c r="C314">
        <v>6.3</v>
      </c>
      <c r="D314">
        <f>VLOOKUP(A314,收盤價!A:C,3,0)</f>
        <v>7.7</v>
      </c>
      <c r="E314" s="188">
        <v>0.22222222222222229</v>
      </c>
      <c r="F314">
        <v>57.95</v>
      </c>
    </row>
    <row r="315" spans="1:6">
      <c r="A315">
        <v>2340</v>
      </c>
      <c r="B315" t="s">
        <v>823</v>
      </c>
      <c r="C315">
        <v>7.41</v>
      </c>
      <c r="D315">
        <f>VLOOKUP(A315,收盤價!A:C,3,0)</f>
        <v>10.5</v>
      </c>
      <c r="E315" s="188">
        <v>0.41700404858299595</v>
      </c>
      <c r="F315">
        <v>85.67</v>
      </c>
    </row>
    <row r="316" spans="1:6">
      <c r="A316">
        <v>2342</v>
      </c>
      <c r="B316" t="s">
        <v>824</v>
      </c>
      <c r="C316">
        <v>2.79</v>
      </c>
      <c r="D316">
        <f>VLOOKUP(A316,收盤價!A:C,3,0)</f>
        <v>2.39</v>
      </c>
      <c r="E316" s="188">
        <v>-0.14336917562724011</v>
      </c>
      <c r="F316">
        <v>4.3600000000000003</v>
      </c>
    </row>
    <row r="317" spans="1:6">
      <c r="A317">
        <v>2344</v>
      </c>
      <c r="B317" t="s">
        <v>825</v>
      </c>
      <c r="C317">
        <v>6.14</v>
      </c>
      <c r="D317">
        <f>VLOOKUP(A317,收盤價!A:C,3,0)</f>
        <v>7.71</v>
      </c>
      <c r="E317" s="188">
        <v>0.25570032573289908</v>
      </c>
      <c r="F317">
        <v>64.33</v>
      </c>
    </row>
    <row r="318" spans="1:6">
      <c r="A318">
        <v>2345</v>
      </c>
      <c r="B318" t="s">
        <v>826</v>
      </c>
      <c r="C318">
        <v>12.85</v>
      </c>
      <c r="D318">
        <f>VLOOKUP(A318,收盤價!A:C,3,0)</f>
        <v>22.4</v>
      </c>
      <c r="E318" s="188">
        <v>0.74319066147859913</v>
      </c>
      <c r="F318">
        <v>97.03</v>
      </c>
    </row>
    <row r="319" spans="1:6">
      <c r="A319">
        <v>2347</v>
      </c>
      <c r="B319" t="s">
        <v>827</v>
      </c>
      <c r="C319">
        <v>31.1</v>
      </c>
      <c r="D319">
        <f>VLOOKUP(A319,收盤價!A:C,3,0)</f>
        <v>34.9</v>
      </c>
      <c r="E319" s="188">
        <v>0.12218649517684878</v>
      </c>
      <c r="F319">
        <v>34.79</v>
      </c>
    </row>
    <row r="320" spans="1:6">
      <c r="A320">
        <v>2348</v>
      </c>
      <c r="B320" t="s">
        <v>828</v>
      </c>
      <c r="C320">
        <v>0</v>
      </c>
      <c r="F320">
        <v>1.52</v>
      </c>
    </row>
    <row r="321" spans="1:6">
      <c r="A321">
        <v>2349</v>
      </c>
      <c r="B321" t="s">
        <v>829</v>
      </c>
      <c r="C321">
        <v>2.64</v>
      </c>
      <c r="D321">
        <f>VLOOKUP(A321,收盤價!A:C,3,0)</f>
        <v>2.71</v>
      </c>
      <c r="E321" s="188">
        <v>2.6515151515151453E-2</v>
      </c>
      <c r="F321">
        <v>15.72</v>
      </c>
    </row>
    <row r="322" spans="1:6">
      <c r="A322">
        <v>2351</v>
      </c>
      <c r="B322" t="s">
        <v>830</v>
      </c>
      <c r="C322">
        <v>21.4</v>
      </c>
      <c r="D322">
        <f>VLOOKUP(A322,收盤價!A:C,3,0)</f>
        <v>27.2</v>
      </c>
      <c r="E322" s="188">
        <v>0.2710280373831776</v>
      </c>
      <c r="F322">
        <v>66.540000000000006</v>
      </c>
    </row>
    <row r="323" spans="1:6">
      <c r="A323">
        <v>2352</v>
      </c>
      <c r="B323" t="s">
        <v>831</v>
      </c>
      <c r="C323">
        <v>8.6999999999999993</v>
      </c>
      <c r="D323">
        <f>VLOOKUP(A323,收盤價!A:C,3,0)</f>
        <v>10.5</v>
      </c>
      <c r="E323" s="188">
        <v>0.20689655172413804</v>
      </c>
      <c r="F323">
        <v>54.23</v>
      </c>
    </row>
    <row r="324" spans="1:6">
      <c r="A324">
        <v>2353</v>
      </c>
      <c r="B324" t="s">
        <v>832</v>
      </c>
      <c r="C324">
        <v>9.7100000000000009</v>
      </c>
      <c r="D324">
        <f>VLOOKUP(A324,收盤價!A:C,3,0)</f>
        <v>12.1</v>
      </c>
      <c r="E324" s="188">
        <v>0.24613800205973208</v>
      </c>
      <c r="F324">
        <v>62.63</v>
      </c>
    </row>
    <row r="325" spans="1:6">
      <c r="A325">
        <v>2354</v>
      </c>
      <c r="B325" t="s">
        <v>833</v>
      </c>
      <c r="C325">
        <v>84.7</v>
      </c>
      <c r="D325">
        <f>VLOOKUP(A325,收盤價!A:C,3,0)</f>
        <v>78.599999999999994</v>
      </c>
      <c r="E325" s="188">
        <v>-7.201889020070848E-2</v>
      </c>
      <c r="F325">
        <v>6.63</v>
      </c>
    </row>
    <row r="326" spans="1:6">
      <c r="A326">
        <v>2355</v>
      </c>
      <c r="B326" t="s">
        <v>834</v>
      </c>
      <c r="C326">
        <v>40.6</v>
      </c>
      <c r="D326">
        <f>VLOOKUP(A326,收盤價!A:C,3,0)</f>
        <v>44.6</v>
      </c>
      <c r="E326" s="188">
        <v>9.852216748768472E-2</v>
      </c>
      <c r="F326">
        <v>29.29</v>
      </c>
    </row>
    <row r="327" spans="1:6">
      <c r="A327">
        <v>2356</v>
      </c>
      <c r="B327" t="s">
        <v>835</v>
      </c>
      <c r="C327">
        <v>14.15</v>
      </c>
      <c r="D327">
        <f>VLOOKUP(A327,收盤價!A:C,3,0)</f>
        <v>18.7</v>
      </c>
      <c r="E327" s="188">
        <v>0.3215547703180211</v>
      </c>
      <c r="F327">
        <v>75.06</v>
      </c>
    </row>
    <row r="328" spans="1:6">
      <c r="A328">
        <v>2357</v>
      </c>
      <c r="B328" t="s">
        <v>836</v>
      </c>
      <c r="C328">
        <v>255.5</v>
      </c>
      <c r="D328">
        <f>VLOOKUP(A328,收盤價!A:C,3,0)</f>
        <v>284.5</v>
      </c>
      <c r="E328" s="188">
        <v>0.11350293542074363</v>
      </c>
      <c r="F328">
        <v>32.64</v>
      </c>
    </row>
    <row r="329" spans="1:6">
      <c r="A329">
        <v>2358</v>
      </c>
      <c r="B329" t="s">
        <v>837</v>
      </c>
      <c r="C329">
        <v>7.61</v>
      </c>
      <c r="D329">
        <f>VLOOKUP(A329,收盤價!A:C,3,0)</f>
        <v>8.74</v>
      </c>
      <c r="E329" s="188">
        <v>0.14848883048620234</v>
      </c>
      <c r="F329">
        <v>40.72</v>
      </c>
    </row>
    <row r="330" spans="1:6">
      <c r="A330">
        <v>2359</v>
      </c>
      <c r="B330" t="s">
        <v>838</v>
      </c>
      <c r="C330">
        <v>13.45</v>
      </c>
      <c r="D330">
        <f>VLOOKUP(A330,收盤價!A:C,3,0)</f>
        <v>14.3</v>
      </c>
      <c r="E330" s="188">
        <v>6.3197026022304939E-2</v>
      </c>
      <c r="F330">
        <v>21.53</v>
      </c>
    </row>
    <row r="331" spans="1:6">
      <c r="A331">
        <v>2360</v>
      </c>
      <c r="B331" t="s">
        <v>839</v>
      </c>
      <c r="C331">
        <v>49.65</v>
      </c>
      <c r="D331">
        <f>VLOOKUP(A331,收盤價!A:C,3,0)</f>
        <v>59.3</v>
      </c>
      <c r="E331" s="188">
        <v>0.19436052366565959</v>
      </c>
      <c r="F331">
        <v>51.45</v>
      </c>
    </row>
    <row r="332" spans="1:6">
      <c r="A332">
        <v>2361</v>
      </c>
      <c r="B332" t="s">
        <v>840</v>
      </c>
      <c r="C332">
        <v>0.76</v>
      </c>
      <c r="D332">
        <f>VLOOKUP(A332,收盤價!A:C,3,0)</f>
        <v>1.59</v>
      </c>
      <c r="E332" s="188">
        <v>1.0921052631578949</v>
      </c>
      <c r="F332">
        <v>99.05</v>
      </c>
    </row>
    <row r="333" spans="1:6">
      <c r="A333">
        <v>2362</v>
      </c>
      <c r="B333" t="s">
        <v>841</v>
      </c>
      <c r="C333">
        <v>27.35</v>
      </c>
      <c r="D333">
        <f>VLOOKUP(A333,收盤價!A:C,3,0)</f>
        <v>34.35</v>
      </c>
      <c r="E333" s="188">
        <v>0.25594149908592323</v>
      </c>
      <c r="F333">
        <v>64.39</v>
      </c>
    </row>
    <row r="334" spans="1:6">
      <c r="A334">
        <v>2363</v>
      </c>
      <c r="B334" t="s">
        <v>842</v>
      </c>
      <c r="C334">
        <v>4.7300000000000004</v>
      </c>
      <c r="D334">
        <f>VLOOKUP(A334,收盤價!A:C,3,0)</f>
        <v>6.92</v>
      </c>
      <c r="E334" s="188">
        <v>0.46300211416490472</v>
      </c>
      <c r="F334">
        <v>89.08</v>
      </c>
    </row>
    <row r="335" spans="1:6">
      <c r="A335">
        <v>2364</v>
      </c>
      <c r="B335" t="s">
        <v>843</v>
      </c>
      <c r="C335">
        <v>1.47</v>
      </c>
      <c r="D335">
        <f>VLOOKUP(A335,收盤價!A:C,3,0)</f>
        <v>3.8</v>
      </c>
      <c r="E335" s="188">
        <v>1.5850340136054422</v>
      </c>
      <c r="F335">
        <v>99.62</v>
      </c>
    </row>
    <row r="336" spans="1:6">
      <c r="A336">
        <v>2365</v>
      </c>
      <c r="B336" t="s">
        <v>844</v>
      </c>
      <c r="C336">
        <v>7.92</v>
      </c>
      <c r="D336">
        <f>VLOOKUP(A336,收盤價!A:C,3,0)</f>
        <v>9.1</v>
      </c>
      <c r="E336" s="188">
        <v>0.14898989898989895</v>
      </c>
      <c r="F336">
        <v>40.909999999999997</v>
      </c>
    </row>
    <row r="337" spans="1:6">
      <c r="A337">
        <v>2367</v>
      </c>
      <c r="B337" t="s">
        <v>845</v>
      </c>
      <c r="C337">
        <v>9.15</v>
      </c>
      <c r="D337">
        <f>VLOOKUP(A337,收盤價!A:C,3,0)</f>
        <v>11.65</v>
      </c>
      <c r="E337" s="188">
        <v>0.27322404371584696</v>
      </c>
      <c r="F337">
        <v>67.23</v>
      </c>
    </row>
    <row r="338" spans="1:6">
      <c r="A338">
        <v>2368</v>
      </c>
      <c r="B338" t="s">
        <v>846</v>
      </c>
      <c r="C338">
        <v>7.41</v>
      </c>
      <c r="D338">
        <f>VLOOKUP(A338,收盤價!A:C,3,0)</f>
        <v>10.050000000000001</v>
      </c>
      <c r="E338" s="188">
        <v>0.35627530364372478</v>
      </c>
      <c r="F338">
        <v>79.61</v>
      </c>
    </row>
    <row r="339" spans="1:6">
      <c r="A339">
        <v>2369</v>
      </c>
      <c r="B339" t="s">
        <v>847</v>
      </c>
      <c r="C339">
        <v>6.77</v>
      </c>
      <c r="D339">
        <f>VLOOKUP(A339,收盤價!A:C,3,0)</f>
        <v>9.76</v>
      </c>
      <c r="E339" s="188">
        <v>0.4416543574593797</v>
      </c>
      <c r="F339">
        <v>87.56</v>
      </c>
    </row>
    <row r="340" spans="1:6">
      <c r="A340">
        <v>2371</v>
      </c>
      <c r="B340" t="s">
        <v>848</v>
      </c>
      <c r="C340">
        <v>4.59</v>
      </c>
      <c r="D340">
        <f>VLOOKUP(A340,收盤價!A:C,3,0)</f>
        <v>5.58</v>
      </c>
      <c r="E340" s="188">
        <v>0.21568627450980399</v>
      </c>
      <c r="F340">
        <v>56.76</v>
      </c>
    </row>
    <row r="341" spans="1:6">
      <c r="A341">
        <v>2373</v>
      </c>
      <c r="B341" t="s">
        <v>849</v>
      </c>
      <c r="C341">
        <v>49.3</v>
      </c>
      <c r="D341">
        <f>VLOOKUP(A341,收盤價!A:C,3,0)</f>
        <v>50.8</v>
      </c>
      <c r="E341" s="188">
        <v>3.0425963488843816E-2</v>
      </c>
      <c r="F341">
        <v>16.22</v>
      </c>
    </row>
    <row r="342" spans="1:6">
      <c r="A342">
        <v>2374</v>
      </c>
      <c r="B342" t="s">
        <v>850</v>
      </c>
      <c r="C342">
        <v>13.45</v>
      </c>
      <c r="D342" t="e">
        <f>VLOOKUP(A342,收盤價!A:C,3,0)</f>
        <v>#N/A</v>
      </c>
      <c r="F342">
        <v>1.77</v>
      </c>
    </row>
    <row r="343" spans="1:6">
      <c r="A343">
        <v>2375</v>
      </c>
      <c r="B343" t="s">
        <v>851</v>
      </c>
      <c r="C343">
        <v>12.7</v>
      </c>
      <c r="D343">
        <f>VLOOKUP(A343,收盤價!A:C,3,0)</f>
        <v>14.85</v>
      </c>
      <c r="E343" s="188">
        <v>0.1692913385826772</v>
      </c>
      <c r="F343">
        <v>45.2</v>
      </c>
    </row>
    <row r="344" spans="1:6">
      <c r="A344">
        <v>2376</v>
      </c>
      <c r="B344" t="s">
        <v>852</v>
      </c>
      <c r="C344">
        <v>24.75</v>
      </c>
      <c r="D344">
        <f>VLOOKUP(A344,收盤價!A:C,3,0)</f>
        <v>31.9</v>
      </c>
      <c r="E344" s="188">
        <v>0.28888888888888881</v>
      </c>
      <c r="F344">
        <v>69.819999999999993</v>
      </c>
    </row>
    <row r="345" spans="1:6">
      <c r="A345">
        <v>2377</v>
      </c>
      <c r="B345" t="s">
        <v>853</v>
      </c>
      <c r="C345">
        <v>22.2</v>
      </c>
      <c r="D345">
        <f>VLOOKUP(A345,收盤價!A:C,3,0)</f>
        <v>33.450000000000003</v>
      </c>
      <c r="E345" s="188">
        <v>0.50675675675675691</v>
      </c>
      <c r="F345">
        <v>91.22</v>
      </c>
    </row>
    <row r="346" spans="1:6">
      <c r="A346">
        <v>2379</v>
      </c>
      <c r="B346" t="s">
        <v>854</v>
      </c>
      <c r="C346">
        <v>50.7</v>
      </c>
      <c r="D346">
        <f>VLOOKUP(A346,收盤價!A:C,3,0)</f>
        <v>72.7</v>
      </c>
      <c r="E346" s="188">
        <v>0.43392504930966469</v>
      </c>
      <c r="F346">
        <v>86.81</v>
      </c>
    </row>
    <row r="347" spans="1:6">
      <c r="A347">
        <v>2380</v>
      </c>
      <c r="B347" t="s">
        <v>855</v>
      </c>
      <c r="C347">
        <v>6.75</v>
      </c>
      <c r="D347">
        <f>VLOOKUP(A347,收盤價!A:C,3,0)</f>
        <v>7.32</v>
      </c>
      <c r="E347" s="188">
        <v>8.4444444444444489E-2</v>
      </c>
      <c r="F347">
        <v>26.26</v>
      </c>
    </row>
    <row r="348" spans="1:6">
      <c r="A348">
        <v>2382</v>
      </c>
      <c r="B348" t="s">
        <v>856</v>
      </c>
      <c r="C348">
        <v>53.6</v>
      </c>
      <c r="D348">
        <f>VLOOKUP(A348,收盤價!A:C,3,0)</f>
        <v>53.5</v>
      </c>
      <c r="E348" s="188">
        <v>-1.8656716417910712E-3</v>
      </c>
      <c r="F348">
        <v>11.62</v>
      </c>
    </row>
    <row r="349" spans="1:6">
      <c r="A349">
        <v>2383</v>
      </c>
      <c r="B349" t="s">
        <v>857</v>
      </c>
      <c r="C349">
        <v>63</v>
      </c>
      <c r="D349">
        <f>VLOOKUP(A349,收盤價!A:C,3,0)</f>
        <v>64</v>
      </c>
      <c r="E349" s="188">
        <v>1.5873015873015872E-2</v>
      </c>
      <c r="F349">
        <v>14.2</v>
      </c>
    </row>
    <row r="350" spans="1:6">
      <c r="A350">
        <v>2385</v>
      </c>
      <c r="B350" t="s">
        <v>858</v>
      </c>
      <c r="C350">
        <v>77.900000000000006</v>
      </c>
      <c r="D350">
        <f>VLOOKUP(A350,收盤價!A:C,3,0)</f>
        <v>75.3</v>
      </c>
      <c r="E350" s="188">
        <v>-3.337612323491667E-2</v>
      </c>
      <c r="F350">
        <v>9.2200000000000006</v>
      </c>
    </row>
    <row r="351" spans="1:6">
      <c r="A351">
        <v>2387</v>
      </c>
      <c r="B351" t="s">
        <v>859</v>
      </c>
      <c r="C351">
        <v>9.9600000000000009</v>
      </c>
      <c r="D351">
        <f>VLOOKUP(A351,收盤價!A:C,3,0)</f>
        <v>14.95</v>
      </c>
      <c r="E351" s="188">
        <v>0.50100401606425682</v>
      </c>
      <c r="F351">
        <v>90.97</v>
      </c>
    </row>
    <row r="352" spans="1:6">
      <c r="A352">
        <v>2388</v>
      </c>
      <c r="B352" t="s">
        <v>860</v>
      </c>
      <c r="C352">
        <v>5</v>
      </c>
      <c r="D352">
        <f>VLOOKUP(A352,收盤價!A:C,3,0)</f>
        <v>7.61</v>
      </c>
      <c r="E352" s="188">
        <v>0.52200000000000002</v>
      </c>
      <c r="F352">
        <v>91.67</v>
      </c>
    </row>
    <row r="353" spans="1:6">
      <c r="A353">
        <v>2390</v>
      </c>
      <c r="B353" t="s">
        <v>861</v>
      </c>
      <c r="C353">
        <v>19</v>
      </c>
      <c r="D353">
        <f>VLOOKUP(A353,收盤價!A:C,3,0)</f>
        <v>20.8</v>
      </c>
      <c r="E353" s="188">
        <v>9.4736842105263189E-2</v>
      </c>
      <c r="F353">
        <v>28.47</v>
      </c>
    </row>
    <row r="354" spans="1:6">
      <c r="A354">
        <v>2392</v>
      </c>
      <c r="B354" t="s">
        <v>862</v>
      </c>
      <c r="C354">
        <v>42</v>
      </c>
      <c r="D354">
        <f>VLOOKUP(A354,收盤價!A:C,3,0)</f>
        <v>46.5</v>
      </c>
      <c r="E354" s="188">
        <v>0.10714285714285714</v>
      </c>
      <c r="F354">
        <v>31</v>
      </c>
    </row>
    <row r="355" spans="1:6">
      <c r="A355">
        <v>2393</v>
      </c>
      <c r="B355" t="s">
        <v>863</v>
      </c>
      <c r="C355">
        <v>35.950000000000003</v>
      </c>
      <c r="D355">
        <f>VLOOKUP(A355,收盤價!A:C,3,0)</f>
        <v>45.75</v>
      </c>
      <c r="E355" s="188">
        <v>0.2726008344923504</v>
      </c>
      <c r="F355">
        <v>67.05</v>
      </c>
    </row>
    <row r="356" spans="1:6">
      <c r="A356">
        <v>2395</v>
      </c>
      <c r="B356" t="s">
        <v>864</v>
      </c>
      <c r="C356">
        <v>198</v>
      </c>
      <c r="D356">
        <f>VLOOKUP(A356,收盤價!A:C,3,0)</f>
        <v>217</v>
      </c>
      <c r="E356" s="188">
        <v>9.5959595959595953E-2</v>
      </c>
      <c r="F356">
        <v>28.66</v>
      </c>
    </row>
    <row r="357" spans="1:6">
      <c r="A357">
        <v>2397</v>
      </c>
      <c r="B357" t="s">
        <v>865</v>
      </c>
      <c r="C357">
        <v>31.6</v>
      </c>
      <c r="D357">
        <f>VLOOKUP(A357,收盤價!A:C,3,0)</f>
        <v>37.1</v>
      </c>
      <c r="E357" s="188">
        <v>0.17405063291139239</v>
      </c>
      <c r="F357">
        <v>46.59</v>
      </c>
    </row>
    <row r="358" spans="1:6">
      <c r="A358">
        <v>2399</v>
      </c>
      <c r="B358" t="s">
        <v>866</v>
      </c>
      <c r="C358">
        <v>5.36</v>
      </c>
      <c r="D358">
        <f>VLOOKUP(A358,收盤價!A:C,3,0)</f>
        <v>7.16</v>
      </c>
      <c r="E358" s="188">
        <v>0.33582089552238803</v>
      </c>
      <c r="F358">
        <v>77.27</v>
      </c>
    </row>
    <row r="359" spans="1:6">
      <c r="A359">
        <v>2401</v>
      </c>
      <c r="B359" t="s">
        <v>867</v>
      </c>
      <c r="C359">
        <v>9.9499999999999993</v>
      </c>
      <c r="D359">
        <f>VLOOKUP(A359,收盤價!A:C,3,0)</f>
        <v>12.05</v>
      </c>
      <c r="E359" s="188">
        <v>0.21105527638190971</v>
      </c>
      <c r="F359">
        <v>55.62</v>
      </c>
    </row>
    <row r="360" spans="1:6">
      <c r="A360">
        <v>2402</v>
      </c>
      <c r="B360" t="s">
        <v>868</v>
      </c>
      <c r="C360">
        <v>14.35</v>
      </c>
      <c r="D360">
        <f>VLOOKUP(A360,收盤價!A:C,3,0)</f>
        <v>16.8</v>
      </c>
      <c r="E360" s="188">
        <v>0.17073170731707324</v>
      </c>
      <c r="F360">
        <v>45.77</v>
      </c>
    </row>
    <row r="361" spans="1:6">
      <c r="A361">
        <v>2404</v>
      </c>
      <c r="B361" t="s">
        <v>869</v>
      </c>
      <c r="C361">
        <v>29</v>
      </c>
      <c r="D361">
        <f>VLOOKUP(A361,收盤價!A:C,3,0)</f>
        <v>35.65</v>
      </c>
      <c r="E361" s="188">
        <v>0.22931034482758617</v>
      </c>
      <c r="F361">
        <v>59.28</v>
      </c>
    </row>
    <row r="362" spans="1:6">
      <c r="A362">
        <v>2405</v>
      </c>
      <c r="B362" t="s">
        <v>870</v>
      </c>
      <c r="C362">
        <v>5.68</v>
      </c>
      <c r="D362">
        <f>VLOOKUP(A362,收盤價!A:C,3,0)</f>
        <v>7.25</v>
      </c>
      <c r="E362" s="188">
        <v>0.27640845070422543</v>
      </c>
      <c r="F362">
        <v>68.06</v>
      </c>
    </row>
    <row r="363" spans="1:6">
      <c r="A363">
        <v>2406</v>
      </c>
      <c r="B363" t="s">
        <v>871</v>
      </c>
      <c r="C363">
        <v>14.2</v>
      </c>
      <c r="D363">
        <f>VLOOKUP(A363,收盤價!A:C,3,0)</f>
        <v>24</v>
      </c>
      <c r="E363" s="188">
        <v>0.69014084507042261</v>
      </c>
      <c r="F363">
        <v>96.34</v>
      </c>
    </row>
    <row r="364" spans="1:6">
      <c r="A364">
        <v>2408</v>
      </c>
      <c r="B364" t="s">
        <v>872</v>
      </c>
      <c r="C364">
        <v>39.9</v>
      </c>
      <c r="D364">
        <f>VLOOKUP(A364,收盤價!A:C,3,0)</f>
        <v>38.049999999999997</v>
      </c>
      <c r="E364" s="188">
        <v>-4.6365914786967458E-2</v>
      </c>
      <c r="F364">
        <v>8.2100000000000009</v>
      </c>
    </row>
    <row r="365" spans="1:6">
      <c r="A365">
        <v>2409</v>
      </c>
      <c r="B365" t="s">
        <v>873</v>
      </c>
      <c r="C365">
        <v>8.6</v>
      </c>
      <c r="D365">
        <f>VLOOKUP(A365,收盤價!A:C,3,0)</f>
        <v>9.23</v>
      </c>
      <c r="E365" s="188">
        <v>7.3255813953488472E-2</v>
      </c>
      <c r="F365">
        <v>22.98</v>
      </c>
    </row>
    <row r="366" spans="1:6">
      <c r="A366">
        <v>2412</v>
      </c>
      <c r="B366" t="s">
        <v>874</v>
      </c>
      <c r="C366">
        <v>95.1</v>
      </c>
      <c r="D366">
        <f>VLOOKUP(A366,收盤價!A:C,3,0)</f>
        <v>98.5</v>
      </c>
      <c r="E366" s="188">
        <v>3.5751840168244016E-2</v>
      </c>
      <c r="F366">
        <v>16.98</v>
      </c>
    </row>
    <row r="367" spans="1:6">
      <c r="A367">
        <v>2413</v>
      </c>
      <c r="B367" t="s">
        <v>875</v>
      </c>
      <c r="C367">
        <v>8.86</v>
      </c>
      <c r="D367">
        <f>VLOOKUP(A367,收盤價!A:C,3,0)</f>
        <v>13.7</v>
      </c>
      <c r="E367" s="188">
        <v>0.54627539503386002</v>
      </c>
      <c r="F367">
        <v>92.68</v>
      </c>
    </row>
    <row r="368" spans="1:6">
      <c r="A368">
        <v>2414</v>
      </c>
      <c r="B368" t="s">
        <v>876</v>
      </c>
      <c r="C368">
        <v>13.8</v>
      </c>
      <c r="D368">
        <f>VLOOKUP(A368,收盤價!A:C,3,0)</f>
        <v>16.2</v>
      </c>
      <c r="E368" s="188">
        <v>0.17391304347826075</v>
      </c>
      <c r="F368">
        <v>46.46</v>
      </c>
    </row>
    <row r="369" spans="1:6">
      <c r="A369">
        <v>2415</v>
      </c>
      <c r="B369" t="s">
        <v>877</v>
      </c>
      <c r="C369">
        <v>9.98</v>
      </c>
      <c r="D369">
        <f>VLOOKUP(A369,收盤價!A:C,3,0)</f>
        <v>13.1</v>
      </c>
      <c r="E369" s="188">
        <v>0.31262525050100193</v>
      </c>
      <c r="F369">
        <v>73.930000000000007</v>
      </c>
    </row>
    <row r="370" spans="1:6">
      <c r="A370">
        <v>2417</v>
      </c>
      <c r="B370" t="s">
        <v>878</v>
      </c>
      <c r="C370">
        <v>8.33</v>
      </c>
      <c r="D370">
        <f>VLOOKUP(A370,收盤價!A:C,3,0)</f>
        <v>10.25</v>
      </c>
      <c r="E370" s="188">
        <v>0.2304921968787515</v>
      </c>
      <c r="F370">
        <v>59.79</v>
      </c>
    </row>
    <row r="371" spans="1:6">
      <c r="A371">
        <v>2419</v>
      </c>
      <c r="B371" t="s">
        <v>879</v>
      </c>
      <c r="C371">
        <v>10.35</v>
      </c>
      <c r="D371">
        <f>VLOOKUP(A371,收盤價!A:C,3,0)</f>
        <v>14.1</v>
      </c>
      <c r="E371" s="188">
        <v>0.36231884057971014</v>
      </c>
      <c r="F371">
        <v>80.56</v>
      </c>
    </row>
    <row r="372" spans="1:6">
      <c r="A372">
        <v>2420</v>
      </c>
      <c r="B372" t="s">
        <v>880</v>
      </c>
      <c r="C372">
        <v>32.299999999999997</v>
      </c>
      <c r="D372">
        <f>VLOOKUP(A372,收盤價!A:C,3,0)</f>
        <v>38.35</v>
      </c>
      <c r="E372" s="188">
        <v>0.18730650154798775</v>
      </c>
      <c r="F372">
        <v>49.62</v>
      </c>
    </row>
    <row r="373" spans="1:6">
      <c r="A373">
        <v>2421</v>
      </c>
      <c r="B373" t="s">
        <v>881</v>
      </c>
      <c r="C373">
        <v>12.5</v>
      </c>
      <c r="D373">
        <f>VLOOKUP(A373,收盤價!A:C,3,0)</f>
        <v>17.100000000000001</v>
      </c>
      <c r="E373" s="188">
        <v>0.3680000000000001</v>
      </c>
      <c r="F373">
        <v>81.38</v>
      </c>
    </row>
    <row r="374" spans="1:6">
      <c r="A374">
        <v>2423</v>
      </c>
      <c r="B374" t="s">
        <v>882</v>
      </c>
      <c r="C374">
        <v>14.25</v>
      </c>
      <c r="D374">
        <f>VLOOKUP(A374,收盤價!A:C,3,0)</f>
        <v>16.75</v>
      </c>
      <c r="E374" s="188">
        <v>0.17543859649122806</v>
      </c>
      <c r="F374">
        <v>47.16</v>
      </c>
    </row>
    <row r="375" spans="1:6">
      <c r="A375">
        <v>2424</v>
      </c>
      <c r="B375" t="s">
        <v>883</v>
      </c>
      <c r="C375">
        <v>27.9</v>
      </c>
      <c r="D375" t="str">
        <f>VLOOKUP(A375,收盤價!A:C,3,0)</f>
        <v>--</v>
      </c>
      <c r="F375">
        <v>2.4</v>
      </c>
    </row>
    <row r="376" spans="1:6">
      <c r="A376">
        <v>2425</v>
      </c>
      <c r="B376" t="s">
        <v>884</v>
      </c>
      <c r="C376">
        <v>12</v>
      </c>
      <c r="D376">
        <f>VLOOKUP(A376,收盤價!A:C,3,0)</f>
        <v>16.5</v>
      </c>
      <c r="E376" s="188">
        <v>0.375</v>
      </c>
      <c r="F376">
        <v>81.819999999999993</v>
      </c>
    </row>
    <row r="377" spans="1:6">
      <c r="A377">
        <v>2426</v>
      </c>
      <c r="B377" t="s">
        <v>885</v>
      </c>
      <c r="C377">
        <v>9.27</v>
      </c>
      <c r="D377">
        <f>VLOOKUP(A377,收盤價!A:C,3,0)</f>
        <v>15</v>
      </c>
      <c r="E377" s="188">
        <v>0.61812297734627841</v>
      </c>
      <c r="F377">
        <v>94.7</v>
      </c>
    </row>
    <row r="378" spans="1:6">
      <c r="A378">
        <v>2427</v>
      </c>
      <c r="B378" t="s">
        <v>886</v>
      </c>
      <c r="C378">
        <v>4.97</v>
      </c>
      <c r="D378">
        <f>VLOOKUP(A378,收盤價!A:C,3,0)</f>
        <v>6.48</v>
      </c>
      <c r="E378" s="188">
        <v>0.30382293762575469</v>
      </c>
      <c r="F378">
        <v>72.349999999999994</v>
      </c>
    </row>
    <row r="379" spans="1:6">
      <c r="A379">
        <v>2428</v>
      </c>
      <c r="B379" t="s">
        <v>887</v>
      </c>
      <c r="C379">
        <v>35.950000000000003</v>
      </c>
      <c r="D379">
        <f>VLOOKUP(A379,收盤價!A:C,3,0)</f>
        <v>43.2</v>
      </c>
      <c r="E379" s="188">
        <v>0.20166898470097355</v>
      </c>
      <c r="F379">
        <v>53.47</v>
      </c>
    </row>
    <row r="380" spans="1:6">
      <c r="A380">
        <v>2429</v>
      </c>
      <c r="B380" t="s">
        <v>888</v>
      </c>
      <c r="C380">
        <v>14.7</v>
      </c>
      <c r="D380" t="str">
        <f>VLOOKUP(A380,收盤價!A:C,3,0)</f>
        <v>--</v>
      </c>
      <c r="F380">
        <v>1.96</v>
      </c>
    </row>
    <row r="381" spans="1:6">
      <c r="A381">
        <v>2430</v>
      </c>
      <c r="B381" t="s">
        <v>889</v>
      </c>
      <c r="C381">
        <v>17.649999999999999</v>
      </c>
      <c r="D381">
        <f>VLOOKUP(A381,收盤價!A:C,3,0)</f>
        <v>19.8</v>
      </c>
      <c r="E381" s="188">
        <v>0.12181303116147321</v>
      </c>
      <c r="F381">
        <v>34.659999999999997</v>
      </c>
    </row>
    <row r="382" spans="1:6">
      <c r="A382">
        <v>2431</v>
      </c>
      <c r="B382" t="s">
        <v>890</v>
      </c>
      <c r="C382">
        <v>10.15</v>
      </c>
      <c r="D382">
        <f>VLOOKUP(A382,收盤價!A:C,3,0)</f>
        <v>14.9</v>
      </c>
      <c r="E382" s="188">
        <v>0.46798029556650245</v>
      </c>
      <c r="F382">
        <v>89.27</v>
      </c>
    </row>
    <row r="383" spans="1:6">
      <c r="A383">
        <v>2433</v>
      </c>
      <c r="B383" t="s">
        <v>891</v>
      </c>
      <c r="C383">
        <v>41.95</v>
      </c>
      <c r="D383">
        <f>VLOOKUP(A383,收盤價!A:C,3,0)</f>
        <v>45</v>
      </c>
      <c r="E383" s="188">
        <v>7.2705601907032111E-2</v>
      </c>
      <c r="F383">
        <v>22.79</v>
      </c>
    </row>
    <row r="384" spans="1:6">
      <c r="A384">
        <v>2434</v>
      </c>
      <c r="B384" t="s">
        <v>892</v>
      </c>
      <c r="C384">
        <v>4.5599999999999996</v>
      </c>
      <c r="D384">
        <f>VLOOKUP(A384,收盤價!A:C,3,0)</f>
        <v>6.19</v>
      </c>
      <c r="E384" s="188">
        <v>0.35745614035087742</v>
      </c>
      <c r="F384">
        <v>80.05</v>
      </c>
    </row>
    <row r="385" spans="1:6">
      <c r="A385">
        <v>2436</v>
      </c>
      <c r="B385" t="s">
        <v>893</v>
      </c>
      <c r="C385">
        <v>13.75</v>
      </c>
      <c r="D385">
        <f>VLOOKUP(A385,收盤價!A:C,3,0)</f>
        <v>18.45</v>
      </c>
      <c r="E385" s="188">
        <v>0.34181818181818174</v>
      </c>
      <c r="F385">
        <v>77.900000000000006</v>
      </c>
    </row>
    <row r="386" spans="1:6">
      <c r="A386">
        <v>2437</v>
      </c>
      <c r="B386" t="s">
        <v>894</v>
      </c>
      <c r="C386">
        <v>40.9</v>
      </c>
      <c r="D386">
        <f>VLOOKUP(A386,收盤價!A:C,3,0)</f>
        <v>49.1</v>
      </c>
      <c r="E386" s="188">
        <v>0.20048899755501229</v>
      </c>
      <c r="F386">
        <v>53.03</v>
      </c>
    </row>
    <row r="387" spans="1:6">
      <c r="A387">
        <v>2438</v>
      </c>
      <c r="B387" t="s">
        <v>895</v>
      </c>
      <c r="C387">
        <v>11.1</v>
      </c>
      <c r="D387">
        <f>VLOOKUP(A387,收盤價!A:C,3,0)</f>
        <v>14.95</v>
      </c>
      <c r="E387" s="188">
        <v>0.3468468468468468</v>
      </c>
      <c r="F387">
        <v>78.599999999999994</v>
      </c>
    </row>
    <row r="388" spans="1:6">
      <c r="A388">
        <v>2439</v>
      </c>
      <c r="B388" t="s">
        <v>896</v>
      </c>
      <c r="C388">
        <v>31.9</v>
      </c>
      <c r="D388">
        <f>VLOOKUP(A388,收盤價!A:C,3,0)</f>
        <v>65</v>
      </c>
      <c r="E388" s="188">
        <v>1.0376175548589344</v>
      </c>
      <c r="F388">
        <v>98.8</v>
      </c>
    </row>
    <row r="389" spans="1:6">
      <c r="A389">
        <v>2440</v>
      </c>
      <c r="B389" t="s">
        <v>897</v>
      </c>
      <c r="C389">
        <v>7.97</v>
      </c>
      <c r="D389">
        <f>VLOOKUP(A389,收盤價!A:C,3,0)</f>
        <v>7.97</v>
      </c>
      <c r="E389" s="188">
        <v>0</v>
      </c>
      <c r="F389">
        <v>11.93</v>
      </c>
    </row>
    <row r="390" spans="1:6">
      <c r="A390">
        <v>2441</v>
      </c>
      <c r="B390" t="s">
        <v>898</v>
      </c>
      <c r="C390">
        <v>26.2</v>
      </c>
      <c r="D390">
        <f>VLOOKUP(A390,收盤價!A:C,3,0)</f>
        <v>34.200000000000003</v>
      </c>
      <c r="E390" s="188">
        <v>0.3053435114503818</v>
      </c>
      <c r="F390">
        <v>72.540000000000006</v>
      </c>
    </row>
    <row r="391" spans="1:6">
      <c r="A391">
        <v>2442</v>
      </c>
      <c r="B391" t="s">
        <v>899</v>
      </c>
      <c r="C391">
        <v>5.85</v>
      </c>
      <c r="D391">
        <f>VLOOKUP(A391,收盤價!A:C,3,0)</f>
        <v>6.56</v>
      </c>
      <c r="E391" s="188">
        <v>0.12136752136752137</v>
      </c>
      <c r="F391">
        <v>34.53</v>
      </c>
    </row>
    <row r="392" spans="1:6">
      <c r="A392">
        <v>2443</v>
      </c>
      <c r="B392" t="s">
        <v>900</v>
      </c>
      <c r="C392">
        <v>6.7</v>
      </c>
      <c r="D392">
        <f>VLOOKUP(A392,收盤價!A:C,3,0)</f>
        <v>7.05</v>
      </c>
      <c r="E392" s="188">
        <v>5.2238805970149196E-2</v>
      </c>
      <c r="F392">
        <v>19.510000000000002</v>
      </c>
    </row>
    <row r="393" spans="1:6">
      <c r="A393">
        <v>2444</v>
      </c>
      <c r="B393" t="s">
        <v>901</v>
      </c>
      <c r="C393">
        <v>8.4</v>
      </c>
      <c r="D393">
        <f>VLOOKUP(A393,收盤價!A:C,3,0)</f>
        <v>8.33</v>
      </c>
      <c r="E393" s="188">
        <v>-8.3333333333333662E-3</v>
      </c>
      <c r="F393">
        <v>11.05</v>
      </c>
    </row>
    <row r="394" spans="1:6">
      <c r="A394">
        <v>2448</v>
      </c>
      <c r="B394" t="s">
        <v>902</v>
      </c>
      <c r="C394">
        <v>21.5</v>
      </c>
      <c r="D394">
        <f>VLOOKUP(A394,收盤價!A:C,3,0)</f>
        <v>25.4</v>
      </c>
      <c r="E394" s="188">
        <v>0.18139534883720923</v>
      </c>
      <c r="F394">
        <v>48.23</v>
      </c>
    </row>
    <row r="395" spans="1:6">
      <c r="A395">
        <v>2449</v>
      </c>
      <c r="B395" t="s">
        <v>903</v>
      </c>
      <c r="C395">
        <v>19.100000000000001</v>
      </c>
      <c r="D395">
        <f>VLOOKUP(A395,收盤價!A:C,3,0)</f>
        <v>20.8</v>
      </c>
      <c r="E395" s="188">
        <v>8.9005235602094196E-2</v>
      </c>
      <c r="F395">
        <v>27.27</v>
      </c>
    </row>
    <row r="396" spans="1:6">
      <c r="A396">
        <v>2450</v>
      </c>
      <c r="B396" t="s">
        <v>904</v>
      </c>
      <c r="C396">
        <v>41.7</v>
      </c>
      <c r="D396">
        <f>VLOOKUP(A396,收盤價!A:C,3,0)</f>
        <v>41.6</v>
      </c>
      <c r="E396" s="188">
        <v>-2.3980815347722164E-3</v>
      </c>
      <c r="F396">
        <v>11.55</v>
      </c>
    </row>
    <row r="397" spans="1:6">
      <c r="A397">
        <v>2451</v>
      </c>
      <c r="B397" t="s">
        <v>905</v>
      </c>
      <c r="C397">
        <v>70</v>
      </c>
      <c r="D397">
        <f>VLOOKUP(A397,收盤價!A:C,3,0)</f>
        <v>85.3</v>
      </c>
      <c r="E397" s="188">
        <v>0.21857142857142853</v>
      </c>
      <c r="F397">
        <v>57.45</v>
      </c>
    </row>
    <row r="398" spans="1:6">
      <c r="A398">
        <v>2453</v>
      </c>
      <c r="B398" t="s">
        <v>906</v>
      </c>
      <c r="C398">
        <v>9</v>
      </c>
      <c r="D398">
        <f>VLOOKUP(A398,收盤價!A:C,3,0)</f>
        <v>11.3</v>
      </c>
      <c r="E398" s="188">
        <v>0.25555555555555565</v>
      </c>
      <c r="F398">
        <v>64.27</v>
      </c>
    </row>
    <row r="399" spans="1:6">
      <c r="A399">
        <v>2454</v>
      </c>
      <c r="B399" t="s">
        <v>907</v>
      </c>
      <c r="C399">
        <v>229</v>
      </c>
      <c r="D399">
        <f>VLOOKUP(A399,收盤價!A:C,3,0)</f>
        <v>275</v>
      </c>
      <c r="E399" s="188">
        <v>0.20087336244541484</v>
      </c>
      <c r="F399">
        <v>53.28</v>
      </c>
    </row>
    <row r="400" spans="1:6">
      <c r="A400">
        <v>2455</v>
      </c>
      <c r="B400" t="s">
        <v>908</v>
      </c>
      <c r="C400">
        <v>34.15</v>
      </c>
      <c r="D400">
        <f>VLOOKUP(A400,收盤價!A:C,3,0)</f>
        <v>37.200000000000003</v>
      </c>
      <c r="E400" s="188">
        <v>8.9311859443631167E-2</v>
      </c>
      <c r="F400">
        <v>27.34</v>
      </c>
    </row>
    <row r="401" spans="1:6">
      <c r="A401">
        <v>2456</v>
      </c>
      <c r="B401" t="s">
        <v>909</v>
      </c>
      <c r="C401">
        <v>40.049999999999997</v>
      </c>
      <c r="D401">
        <f>VLOOKUP(A401,收盤價!A:C,3,0)</f>
        <v>52.7</v>
      </c>
      <c r="E401" s="188">
        <v>0.31585518102372051</v>
      </c>
      <c r="F401">
        <v>74.430000000000007</v>
      </c>
    </row>
    <row r="402" spans="1:6">
      <c r="A402">
        <v>2457</v>
      </c>
      <c r="B402" t="s">
        <v>910</v>
      </c>
      <c r="C402">
        <v>6.82</v>
      </c>
      <c r="D402">
        <f>VLOOKUP(A402,收盤價!A:C,3,0)</f>
        <v>8.9499999999999993</v>
      </c>
      <c r="E402" s="188">
        <v>0.31231671554252183</v>
      </c>
      <c r="F402">
        <v>73.8</v>
      </c>
    </row>
    <row r="403" spans="1:6">
      <c r="A403">
        <v>2458</v>
      </c>
      <c r="B403" t="s">
        <v>911</v>
      </c>
      <c r="C403">
        <v>27.5</v>
      </c>
      <c r="D403">
        <f>VLOOKUP(A403,收盤價!A:C,3,0)</f>
        <v>36.700000000000003</v>
      </c>
      <c r="E403" s="188">
        <v>0.33454545454545465</v>
      </c>
      <c r="F403">
        <v>76.89</v>
      </c>
    </row>
    <row r="404" spans="1:6">
      <c r="A404">
        <v>2459</v>
      </c>
      <c r="B404" t="s">
        <v>912</v>
      </c>
      <c r="C404">
        <v>27.95</v>
      </c>
      <c r="D404">
        <f>VLOOKUP(A404,收盤價!A:C,3,0)</f>
        <v>33.25</v>
      </c>
      <c r="E404" s="188">
        <v>0.1896243291592129</v>
      </c>
      <c r="F404">
        <v>50.69</v>
      </c>
    </row>
    <row r="405" spans="1:6">
      <c r="A405">
        <v>2460</v>
      </c>
      <c r="B405" t="s">
        <v>913</v>
      </c>
      <c r="C405">
        <v>7.51</v>
      </c>
      <c r="D405">
        <f>VLOOKUP(A405,收盤價!A:C,3,0)</f>
        <v>9.14</v>
      </c>
      <c r="E405" s="188">
        <v>0.2170439414114515</v>
      </c>
      <c r="F405">
        <v>57.07</v>
      </c>
    </row>
    <row r="406" spans="1:6">
      <c r="A406">
        <v>2461</v>
      </c>
      <c r="B406" t="s">
        <v>914</v>
      </c>
      <c r="C406">
        <v>13.7</v>
      </c>
      <c r="D406">
        <f>VLOOKUP(A406,收盤價!A:C,3,0)</f>
        <v>13.75</v>
      </c>
      <c r="E406" s="188">
        <v>3.6496350364964023E-3</v>
      </c>
      <c r="F406">
        <v>12.75</v>
      </c>
    </row>
    <row r="407" spans="1:6">
      <c r="A407">
        <v>2462</v>
      </c>
      <c r="B407" t="s">
        <v>915</v>
      </c>
      <c r="C407">
        <v>12.85</v>
      </c>
      <c r="D407">
        <f>VLOOKUP(A407,收盤價!A:C,3,0)</f>
        <v>14.6</v>
      </c>
      <c r="E407" s="188">
        <v>0.13618677042801558</v>
      </c>
      <c r="F407">
        <v>38.01</v>
      </c>
    </row>
    <row r="408" spans="1:6">
      <c r="A408">
        <v>2464</v>
      </c>
      <c r="B408" t="s">
        <v>916</v>
      </c>
      <c r="C408">
        <v>22.4</v>
      </c>
      <c r="D408">
        <f>VLOOKUP(A408,收盤價!A:C,3,0)</f>
        <v>29.1</v>
      </c>
      <c r="E408" s="188">
        <v>0.29910714285714302</v>
      </c>
      <c r="F408">
        <v>71.650000000000006</v>
      </c>
    </row>
    <row r="409" spans="1:6">
      <c r="A409">
        <v>2465</v>
      </c>
      <c r="B409" t="s">
        <v>917</v>
      </c>
      <c r="C409">
        <v>7.4</v>
      </c>
      <c r="D409">
        <f>VLOOKUP(A409,收盤價!A:C,3,0)</f>
        <v>9.94</v>
      </c>
      <c r="E409" s="188">
        <v>0.34324324324324312</v>
      </c>
      <c r="F409">
        <v>78.09</v>
      </c>
    </row>
    <row r="410" spans="1:6">
      <c r="A410">
        <v>2466</v>
      </c>
      <c r="B410" t="s">
        <v>918</v>
      </c>
      <c r="C410">
        <v>29.65</v>
      </c>
      <c r="D410">
        <f>VLOOKUP(A410,收盤價!A:C,3,0)</f>
        <v>33.75</v>
      </c>
      <c r="E410" s="188">
        <v>0.13827993254637441</v>
      </c>
      <c r="F410">
        <v>38.380000000000003</v>
      </c>
    </row>
    <row r="411" spans="1:6">
      <c r="A411">
        <v>2467</v>
      </c>
      <c r="B411" t="s">
        <v>919</v>
      </c>
      <c r="C411">
        <v>11.3</v>
      </c>
      <c r="D411">
        <f>VLOOKUP(A411,收盤價!A:C,3,0)</f>
        <v>13.65</v>
      </c>
      <c r="E411" s="188">
        <v>0.20796460176991147</v>
      </c>
      <c r="F411">
        <v>54.48</v>
      </c>
    </row>
    <row r="412" spans="1:6">
      <c r="A412">
        <v>2468</v>
      </c>
      <c r="B412" t="s">
        <v>920</v>
      </c>
      <c r="C412">
        <v>9.98</v>
      </c>
      <c r="D412">
        <f>VLOOKUP(A412,收盤價!A:C,3,0)</f>
        <v>10.6</v>
      </c>
      <c r="E412" s="188">
        <v>6.2124248496993904E-2</v>
      </c>
      <c r="F412">
        <v>21.28</v>
      </c>
    </row>
    <row r="413" spans="1:6">
      <c r="A413">
        <v>2471</v>
      </c>
      <c r="B413" t="s">
        <v>921</v>
      </c>
      <c r="C413">
        <v>10.8</v>
      </c>
      <c r="D413">
        <f>VLOOKUP(A413,收盤價!A:C,3,0)</f>
        <v>13.9</v>
      </c>
      <c r="E413" s="188">
        <v>0.28703703703703698</v>
      </c>
      <c r="F413">
        <v>69.44</v>
      </c>
    </row>
    <row r="414" spans="1:6">
      <c r="A414">
        <v>2472</v>
      </c>
      <c r="B414" t="s">
        <v>1859</v>
      </c>
      <c r="C414">
        <v>18.350000000000001</v>
      </c>
      <c r="D414">
        <f>VLOOKUP(A414,收盤價!A:C,3,0)</f>
        <v>23.45</v>
      </c>
      <c r="E414" s="188">
        <v>0.27792915531335138</v>
      </c>
      <c r="F414">
        <v>68.239999999999995</v>
      </c>
    </row>
    <row r="415" spans="1:6">
      <c r="A415">
        <v>2474</v>
      </c>
      <c r="B415" t="s">
        <v>922</v>
      </c>
      <c r="C415">
        <v>294.5</v>
      </c>
      <c r="D415">
        <f>VLOOKUP(A415,收盤價!A:C,3,0)</f>
        <v>319</v>
      </c>
      <c r="E415" s="188">
        <v>8.3191850594227498E-2</v>
      </c>
      <c r="F415">
        <v>25.57</v>
      </c>
    </row>
    <row r="416" spans="1:6">
      <c r="A416">
        <v>2475</v>
      </c>
      <c r="B416" t="s">
        <v>923</v>
      </c>
      <c r="C416">
        <v>0.74</v>
      </c>
      <c r="D416">
        <f>VLOOKUP(A416,收盤價!A:C,3,0)</f>
        <v>0.74</v>
      </c>
      <c r="E416" s="188">
        <v>0</v>
      </c>
      <c r="F416">
        <v>11.74</v>
      </c>
    </row>
    <row r="417" spans="1:6">
      <c r="A417">
        <v>2476</v>
      </c>
      <c r="B417" t="s">
        <v>924</v>
      </c>
      <c r="C417">
        <v>17.5</v>
      </c>
      <c r="D417">
        <f>VLOOKUP(A417,收盤價!A:C,3,0)</f>
        <v>21.75</v>
      </c>
      <c r="E417" s="188">
        <v>0.24285714285714285</v>
      </c>
      <c r="F417">
        <v>61.87</v>
      </c>
    </row>
    <row r="418" spans="1:6">
      <c r="A418">
        <v>2477</v>
      </c>
      <c r="B418" t="s">
        <v>925</v>
      </c>
      <c r="C418">
        <v>10.25</v>
      </c>
      <c r="D418">
        <f>VLOOKUP(A418,收盤價!A:C,3,0)</f>
        <v>12.6</v>
      </c>
      <c r="E418" s="188">
        <v>0.22926829268292678</v>
      </c>
      <c r="F418">
        <v>59.22</v>
      </c>
    </row>
    <row r="419" spans="1:6">
      <c r="A419">
        <v>2478</v>
      </c>
      <c r="B419" t="s">
        <v>926</v>
      </c>
      <c r="C419">
        <v>13.05</v>
      </c>
      <c r="D419">
        <f>VLOOKUP(A419,收盤價!A:C,3,0)</f>
        <v>14.95</v>
      </c>
      <c r="E419" s="188">
        <v>0.14559386973180066</v>
      </c>
      <c r="F419">
        <v>40.090000000000003</v>
      </c>
    </row>
    <row r="420" spans="1:6">
      <c r="A420">
        <v>2480</v>
      </c>
      <c r="B420" t="s">
        <v>927</v>
      </c>
      <c r="C420">
        <v>20.8</v>
      </c>
      <c r="D420">
        <f>VLOOKUP(A420,收盤價!A:C,3,0)</f>
        <v>25.15</v>
      </c>
      <c r="E420" s="188">
        <v>0.20913461538461528</v>
      </c>
      <c r="F420">
        <v>54.99</v>
      </c>
    </row>
    <row r="421" spans="1:6">
      <c r="A421">
        <v>2481</v>
      </c>
      <c r="B421" t="s">
        <v>928</v>
      </c>
      <c r="C421">
        <v>7.61</v>
      </c>
      <c r="D421">
        <f>VLOOKUP(A421,收盤價!A:C,3,0)</f>
        <v>12.2</v>
      </c>
      <c r="E421" s="188">
        <v>0.60315374507227315</v>
      </c>
      <c r="F421">
        <v>94.13</v>
      </c>
    </row>
    <row r="422" spans="1:6">
      <c r="A422">
        <v>2482</v>
      </c>
      <c r="B422" t="s">
        <v>929</v>
      </c>
      <c r="C422">
        <v>11.85</v>
      </c>
      <c r="D422">
        <f>VLOOKUP(A422,收盤價!A:C,3,0)</f>
        <v>13.95</v>
      </c>
      <c r="E422" s="188">
        <v>0.17721518987341769</v>
      </c>
      <c r="F422">
        <v>47.41</v>
      </c>
    </row>
    <row r="423" spans="1:6">
      <c r="A423">
        <v>2483</v>
      </c>
      <c r="B423" t="s">
        <v>930</v>
      </c>
      <c r="C423">
        <v>15.4</v>
      </c>
      <c r="D423">
        <f>VLOOKUP(A423,收盤價!A:C,3,0)</f>
        <v>21.8</v>
      </c>
      <c r="E423" s="188">
        <v>0.41558441558441561</v>
      </c>
      <c r="F423">
        <v>85.54</v>
      </c>
    </row>
    <row r="424" spans="1:6">
      <c r="A424">
        <v>2484</v>
      </c>
      <c r="B424" t="s">
        <v>931</v>
      </c>
      <c r="C424">
        <v>13.7</v>
      </c>
      <c r="D424">
        <f>VLOOKUP(A424,收盤價!A:C,3,0)</f>
        <v>19.05</v>
      </c>
      <c r="E424" s="188">
        <v>0.39051094890510962</v>
      </c>
      <c r="F424">
        <v>83.65</v>
      </c>
    </row>
    <row r="425" spans="1:6">
      <c r="A425">
        <v>2485</v>
      </c>
      <c r="B425" t="s">
        <v>932</v>
      </c>
      <c r="C425">
        <v>29.5</v>
      </c>
      <c r="D425">
        <f>VLOOKUP(A425,收盤價!A:C,3,0)</f>
        <v>42.2</v>
      </c>
      <c r="E425" s="188">
        <v>0.43050847457627128</v>
      </c>
      <c r="F425">
        <v>86.49</v>
      </c>
    </row>
    <row r="426" spans="1:6">
      <c r="A426">
        <v>2486</v>
      </c>
      <c r="B426" t="s">
        <v>933</v>
      </c>
      <c r="C426">
        <v>9.9</v>
      </c>
      <c r="D426">
        <f>VLOOKUP(A426,收盤價!A:C,3,0)</f>
        <v>10.7</v>
      </c>
      <c r="E426" s="188">
        <v>8.0808080808080704E-2</v>
      </c>
      <c r="F426">
        <v>24.75</v>
      </c>
    </row>
    <row r="427" spans="1:6">
      <c r="A427">
        <v>2488</v>
      </c>
      <c r="B427" t="s">
        <v>934</v>
      </c>
      <c r="C427">
        <v>25.6</v>
      </c>
      <c r="D427">
        <f>VLOOKUP(A427,收盤價!A:C,3,0)</f>
        <v>28.55</v>
      </c>
      <c r="E427" s="188">
        <v>0.11523437499999997</v>
      </c>
      <c r="F427">
        <v>32.950000000000003</v>
      </c>
    </row>
    <row r="428" spans="1:6">
      <c r="A428">
        <v>2489</v>
      </c>
      <c r="B428" t="s">
        <v>935</v>
      </c>
      <c r="C428">
        <v>13.55</v>
      </c>
      <c r="D428">
        <f>VLOOKUP(A428,收盤價!A:C,3,0)</f>
        <v>16.100000000000001</v>
      </c>
      <c r="E428" s="188">
        <v>0.18819188191881922</v>
      </c>
      <c r="F428">
        <v>50.13</v>
      </c>
    </row>
    <row r="429" spans="1:6">
      <c r="A429">
        <v>2491</v>
      </c>
      <c r="B429" t="s">
        <v>936</v>
      </c>
      <c r="C429">
        <v>8.8000000000000007</v>
      </c>
      <c r="D429">
        <f>VLOOKUP(A429,收盤價!A:C,3,0)</f>
        <v>7.55</v>
      </c>
      <c r="E429" s="188">
        <v>-0.14204545454545464</v>
      </c>
      <c r="F429">
        <v>4.42</v>
      </c>
    </row>
    <row r="430" spans="1:6">
      <c r="A430">
        <v>2492</v>
      </c>
      <c r="B430" t="s">
        <v>937</v>
      </c>
      <c r="C430">
        <v>10.15</v>
      </c>
      <c r="D430">
        <f>VLOOKUP(A430,收盤價!A:C,3,0)</f>
        <v>17.55</v>
      </c>
      <c r="E430" s="188">
        <v>0.72906403940886699</v>
      </c>
      <c r="F430">
        <v>96.84</v>
      </c>
    </row>
    <row r="431" spans="1:6">
      <c r="A431">
        <v>2493</v>
      </c>
      <c r="B431" t="s">
        <v>938</v>
      </c>
      <c r="C431">
        <v>15.55</v>
      </c>
      <c r="D431">
        <f>VLOOKUP(A431,收盤價!A:C,3,0)</f>
        <v>21.1</v>
      </c>
      <c r="E431" s="188">
        <v>0.35691318327974281</v>
      </c>
      <c r="F431">
        <v>79.8</v>
      </c>
    </row>
    <row r="432" spans="1:6">
      <c r="A432">
        <v>2495</v>
      </c>
      <c r="B432" t="s">
        <v>939</v>
      </c>
      <c r="C432">
        <v>11.75</v>
      </c>
      <c r="D432">
        <f>VLOOKUP(A432,收盤價!A:C,3,0)</f>
        <v>14.05</v>
      </c>
      <c r="E432" s="188">
        <v>0.19574468085106389</v>
      </c>
      <c r="F432">
        <v>51.89</v>
      </c>
    </row>
    <row r="433" spans="1:6">
      <c r="A433">
        <v>2496</v>
      </c>
      <c r="B433" t="s">
        <v>940</v>
      </c>
      <c r="C433">
        <v>7.6</v>
      </c>
      <c r="D433">
        <f>VLOOKUP(A433,收盤價!A:C,3,0)</f>
        <v>9.6999999999999993</v>
      </c>
      <c r="E433" s="188">
        <v>0.27631578947368418</v>
      </c>
      <c r="F433">
        <v>67.930000000000007</v>
      </c>
    </row>
    <row r="434" spans="1:6">
      <c r="A434">
        <v>2497</v>
      </c>
      <c r="B434" t="s">
        <v>941</v>
      </c>
      <c r="C434">
        <v>36.5</v>
      </c>
      <c r="D434">
        <f>VLOOKUP(A434,收盤價!A:C,3,0)</f>
        <v>40.6</v>
      </c>
      <c r="E434" s="188">
        <v>0.11232876712328771</v>
      </c>
      <c r="F434">
        <v>32.26</v>
      </c>
    </row>
    <row r="435" spans="1:6">
      <c r="A435">
        <v>2498</v>
      </c>
      <c r="B435" t="s">
        <v>942</v>
      </c>
      <c r="C435">
        <v>40.35</v>
      </c>
      <c r="D435">
        <f>VLOOKUP(A435,收盤價!A:C,3,0)</f>
        <v>80</v>
      </c>
      <c r="E435" s="188">
        <v>0.98265179677819081</v>
      </c>
      <c r="F435">
        <v>98.61</v>
      </c>
    </row>
    <row r="436" spans="1:6">
      <c r="A436">
        <v>2499</v>
      </c>
      <c r="B436" t="s">
        <v>943</v>
      </c>
      <c r="C436">
        <v>12.7</v>
      </c>
      <c r="D436">
        <f>VLOOKUP(A436,收盤價!A:C,3,0)</f>
        <v>20.399999999999999</v>
      </c>
      <c r="E436" s="188">
        <v>0.60629921259842523</v>
      </c>
      <c r="F436">
        <v>94.44</v>
      </c>
    </row>
    <row r="437" spans="1:6">
      <c r="A437">
        <v>2501</v>
      </c>
      <c r="B437" t="s">
        <v>944</v>
      </c>
      <c r="C437">
        <v>11.8</v>
      </c>
      <c r="D437">
        <f>VLOOKUP(A437,收盤價!A:C,3,0)</f>
        <v>13.9</v>
      </c>
      <c r="E437" s="188">
        <v>0.17796610169491522</v>
      </c>
      <c r="F437">
        <v>47.54</v>
      </c>
    </row>
    <row r="438" spans="1:6">
      <c r="A438">
        <v>2504</v>
      </c>
      <c r="B438" t="s">
        <v>945</v>
      </c>
      <c r="C438">
        <v>6.67</v>
      </c>
      <c r="D438">
        <f>VLOOKUP(A438,收盤價!A:C,3,0)</f>
        <v>9.43</v>
      </c>
      <c r="E438" s="188">
        <v>0.41379310344827586</v>
      </c>
      <c r="F438">
        <v>85.23</v>
      </c>
    </row>
    <row r="439" spans="1:6">
      <c r="A439">
        <v>2505</v>
      </c>
      <c r="B439" t="s">
        <v>946</v>
      </c>
      <c r="C439">
        <v>9.2899999999999991</v>
      </c>
      <c r="D439">
        <f>VLOOKUP(A439,收盤價!A:C,3,0)</f>
        <v>11.45</v>
      </c>
      <c r="E439" s="188">
        <v>0.23250807319698605</v>
      </c>
      <c r="F439">
        <v>60.16</v>
      </c>
    </row>
    <row r="440" spans="1:6">
      <c r="A440">
        <v>2506</v>
      </c>
      <c r="B440" t="s">
        <v>947</v>
      </c>
      <c r="C440">
        <v>15</v>
      </c>
      <c r="D440">
        <f>VLOOKUP(A440,收盤價!A:C,3,0)</f>
        <v>16.2</v>
      </c>
      <c r="E440" s="188">
        <v>7.9999999999999946E-2</v>
      </c>
      <c r="F440">
        <v>24.68</v>
      </c>
    </row>
    <row r="441" spans="1:6">
      <c r="A441">
        <v>2509</v>
      </c>
      <c r="B441" t="s">
        <v>948</v>
      </c>
      <c r="C441">
        <v>22.7</v>
      </c>
      <c r="D441">
        <f>VLOOKUP(A441,收盤價!A:C,3,0)</f>
        <v>22.7</v>
      </c>
      <c r="E441" s="188">
        <v>0</v>
      </c>
      <c r="F441">
        <v>11.87</v>
      </c>
    </row>
    <row r="442" spans="1:6">
      <c r="A442">
        <v>2511</v>
      </c>
      <c r="B442" t="s">
        <v>949</v>
      </c>
      <c r="C442">
        <v>8.7100000000000009</v>
      </c>
      <c r="D442">
        <f>VLOOKUP(A442,收盤價!A:C,3,0)</f>
        <v>9.74</v>
      </c>
      <c r="E442" s="188">
        <v>0.11825487944890921</v>
      </c>
      <c r="F442">
        <v>33.590000000000003</v>
      </c>
    </row>
    <row r="443" spans="1:6">
      <c r="A443">
        <v>2514</v>
      </c>
      <c r="B443" t="s">
        <v>950</v>
      </c>
      <c r="C443">
        <v>21.3</v>
      </c>
      <c r="D443">
        <f>VLOOKUP(A443,收盤價!A:C,3,0)</f>
        <v>20.399999999999999</v>
      </c>
      <c r="E443" s="188">
        <v>-4.225352112676066E-2</v>
      </c>
      <c r="F443">
        <v>8.4</v>
      </c>
    </row>
    <row r="444" spans="1:6">
      <c r="A444">
        <v>2515</v>
      </c>
      <c r="B444" t="s">
        <v>951</v>
      </c>
      <c r="C444">
        <v>7.02</v>
      </c>
      <c r="D444">
        <f>VLOOKUP(A444,收盤價!A:C,3,0)</f>
        <v>7.53</v>
      </c>
      <c r="E444" s="188">
        <v>7.2649572649572752E-2</v>
      </c>
      <c r="F444">
        <v>22.66</v>
      </c>
    </row>
    <row r="445" spans="1:6">
      <c r="A445">
        <v>2516</v>
      </c>
      <c r="B445" t="s">
        <v>952</v>
      </c>
      <c r="C445">
        <v>6.21</v>
      </c>
      <c r="D445">
        <f>VLOOKUP(A445,收盤價!A:C,3,0)</f>
        <v>6.78</v>
      </c>
      <c r="E445" s="188">
        <v>9.1787439613526617E-2</v>
      </c>
      <c r="F445">
        <v>27.78</v>
      </c>
    </row>
    <row r="446" spans="1:6">
      <c r="A446">
        <v>2520</v>
      </c>
      <c r="B446" t="s">
        <v>953</v>
      </c>
      <c r="C446">
        <v>13.8</v>
      </c>
      <c r="D446">
        <f>VLOOKUP(A446,收盤價!A:C,3,0)</f>
        <v>17.25</v>
      </c>
      <c r="E446" s="188">
        <v>0.24999999999999994</v>
      </c>
      <c r="F446">
        <v>63.07</v>
      </c>
    </row>
    <row r="447" spans="1:6">
      <c r="A447">
        <v>2524</v>
      </c>
      <c r="B447" t="s">
        <v>954</v>
      </c>
      <c r="C447">
        <v>20.25</v>
      </c>
      <c r="D447">
        <f>VLOOKUP(A447,收盤價!A:C,3,0)</f>
        <v>18.649999999999999</v>
      </c>
      <c r="E447" s="188">
        <v>-7.9012345679012413E-2</v>
      </c>
      <c r="F447">
        <v>6.38</v>
      </c>
    </row>
    <row r="448" spans="1:6">
      <c r="A448">
        <v>2527</v>
      </c>
      <c r="B448" t="s">
        <v>955</v>
      </c>
      <c r="C448">
        <v>17</v>
      </c>
      <c r="D448">
        <f>VLOOKUP(A448,收盤價!A:C,3,0)</f>
        <v>16.75</v>
      </c>
      <c r="E448" s="188">
        <v>-1.4705882352941176E-2</v>
      </c>
      <c r="F448">
        <v>10.54</v>
      </c>
    </row>
    <row r="449" spans="1:6">
      <c r="A449">
        <v>2528</v>
      </c>
      <c r="B449" t="s">
        <v>956</v>
      </c>
      <c r="C449">
        <v>9.48</v>
      </c>
      <c r="D449">
        <f>VLOOKUP(A449,收盤價!A:C,3,0)</f>
        <v>9.89</v>
      </c>
      <c r="E449" s="188">
        <v>4.3248945147679338E-2</v>
      </c>
      <c r="F449">
        <v>18.12</v>
      </c>
    </row>
    <row r="450" spans="1:6">
      <c r="A450">
        <v>2530</v>
      </c>
      <c r="B450" t="s">
        <v>957</v>
      </c>
      <c r="C450">
        <v>15.75</v>
      </c>
      <c r="D450">
        <f>VLOOKUP(A450,收盤價!A:C,3,0)</f>
        <v>17</v>
      </c>
      <c r="E450" s="188">
        <v>7.9365079365079361E-2</v>
      </c>
      <c r="F450">
        <v>24.56</v>
      </c>
    </row>
    <row r="451" spans="1:6">
      <c r="A451">
        <v>2534</v>
      </c>
      <c r="B451" t="s">
        <v>958</v>
      </c>
      <c r="C451">
        <v>13.6</v>
      </c>
      <c r="D451">
        <f>VLOOKUP(A451,收盤價!A:C,3,0)</f>
        <v>17.5</v>
      </c>
      <c r="E451" s="188">
        <v>0.28676470588235298</v>
      </c>
      <c r="F451">
        <v>69.38</v>
      </c>
    </row>
    <row r="452" spans="1:6">
      <c r="A452">
        <v>2535</v>
      </c>
      <c r="B452" t="s">
        <v>959</v>
      </c>
      <c r="C452">
        <v>13</v>
      </c>
      <c r="D452">
        <f>VLOOKUP(A452,收盤價!A:C,3,0)</f>
        <v>14.6</v>
      </c>
      <c r="E452" s="188">
        <v>0.12307692307692306</v>
      </c>
      <c r="F452">
        <v>35.159999999999997</v>
      </c>
    </row>
    <row r="453" spans="1:6">
      <c r="A453">
        <v>2536</v>
      </c>
      <c r="B453" t="s">
        <v>960</v>
      </c>
      <c r="C453">
        <v>18.649999999999999</v>
      </c>
      <c r="D453">
        <f>VLOOKUP(A453,收盤價!A:C,3,0)</f>
        <v>22.15</v>
      </c>
      <c r="E453" s="188">
        <v>0.18766756032171583</v>
      </c>
      <c r="F453">
        <v>49.81</v>
      </c>
    </row>
    <row r="454" spans="1:6">
      <c r="A454">
        <v>2537</v>
      </c>
      <c r="B454" t="s">
        <v>961</v>
      </c>
      <c r="C454">
        <v>7.5</v>
      </c>
      <c r="D454">
        <f>VLOOKUP(A454,收盤價!A:C,3,0)</f>
        <v>8.1999999999999993</v>
      </c>
      <c r="E454" s="188">
        <v>9.333333333333324E-2</v>
      </c>
      <c r="F454">
        <v>28.16</v>
      </c>
    </row>
    <row r="455" spans="1:6">
      <c r="A455">
        <v>2538</v>
      </c>
      <c r="B455" t="s">
        <v>962</v>
      </c>
      <c r="C455">
        <v>16.05</v>
      </c>
      <c r="D455">
        <f>VLOOKUP(A455,收盤價!A:C,3,0)</f>
        <v>16.5</v>
      </c>
      <c r="E455" s="188">
        <v>2.8037383177570048E-2</v>
      </c>
      <c r="F455">
        <v>15.91</v>
      </c>
    </row>
    <row r="456" spans="1:6">
      <c r="A456">
        <v>2539</v>
      </c>
      <c r="B456" t="s">
        <v>963</v>
      </c>
      <c r="C456">
        <v>21.25</v>
      </c>
      <c r="D456">
        <f>VLOOKUP(A456,收盤價!A:C,3,0)</f>
        <v>23.5</v>
      </c>
      <c r="E456" s="188">
        <v>0.10588235294117647</v>
      </c>
      <c r="F456">
        <v>30.62</v>
      </c>
    </row>
    <row r="457" spans="1:6">
      <c r="A457">
        <v>2540</v>
      </c>
      <c r="B457" t="s">
        <v>964</v>
      </c>
      <c r="C457">
        <v>32.5</v>
      </c>
      <c r="D457" t="str">
        <f>VLOOKUP(A457,收盤價!A:C,3,0)</f>
        <v>--</v>
      </c>
      <c r="F457">
        <v>2.21</v>
      </c>
    </row>
    <row r="458" spans="1:6">
      <c r="A458">
        <v>2542</v>
      </c>
      <c r="B458" t="s">
        <v>965</v>
      </c>
      <c r="C458">
        <v>45.8</v>
      </c>
      <c r="D458">
        <f>VLOOKUP(A458,收盤價!A:C,3,0)</f>
        <v>41</v>
      </c>
      <c r="E458" s="188">
        <v>-0.1048034934497816</v>
      </c>
      <c r="F458">
        <v>5.24</v>
      </c>
    </row>
    <row r="459" spans="1:6">
      <c r="A459">
        <v>2543</v>
      </c>
      <c r="B459" t="s">
        <v>966</v>
      </c>
      <c r="C459">
        <v>8.4499999999999993</v>
      </c>
      <c r="D459">
        <f>VLOOKUP(A459,收盤價!A:C,3,0)</f>
        <v>8.35</v>
      </c>
      <c r="E459" s="188">
        <v>-1.1834319526627177E-2</v>
      </c>
      <c r="F459">
        <v>10.86</v>
      </c>
    </row>
    <row r="460" spans="1:6">
      <c r="A460">
        <v>2545</v>
      </c>
      <c r="B460" t="s">
        <v>967</v>
      </c>
      <c r="C460">
        <v>22.4</v>
      </c>
      <c r="D460">
        <f>VLOOKUP(A460,收盤價!A:C,3,0)</f>
        <v>25.1</v>
      </c>
      <c r="E460" s="188">
        <v>0.12053571428571443</v>
      </c>
      <c r="F460">
        <v>34.22</v>
      </c>
    </row>
    <row r="461" spans="1:6">
      <c r="A461">
        <v>2546</v>
      </c>
      <c r="B461" t="s">
        <v>968</v>
      </c>
      <c r="C461">
        <v>12.7</v>
      </c>
      <c r="D461">
        <f>VLOOKUP(A461,收盤價!A:C,3,0)</f>
        <v>15.1</v>
      </c>
      <c r="E461" s="188">
        <v>0.18897637795275593</v>
      </c>
      <c r="F461">
        <v>50.44</v>
      </c>
    </row>
    <row r="462" spans="1:6">
      <c r="A462">
        <v>2547</v>
      </c>
      <c r="B462" t="s">
        <v>969</v>
      </c>
      <c r="C462">
        <v>10.4</v>
      </c>
      <c r="D462">
        <f>VLOOKUP(A462,收盤價!A:C,3,0)</f>
        <v>11.85</v>
      </c>
      <c r="E462" s="188">
        <v>0.13942307692307684</v>
      </c>
      <c r="F462">
        <v>38.76</v>
      </c>
    </row>
    <row r="463" spans="1:6">
      <c r="A463">
        <v>2548</v>
      </c>
      <c r="B463" t="s">
        <v>970</v>
      </c>
      <c r="C463">
        <v>49.3</v>
      </c>
      <c r="D463">
        <f>VLOOKUP(A463,收盤價!A:C,3,0)</f>
        <v>63.9</v>
      </c>
      <c r="E463" s="188">
        <v>0.29614604462474647</v>
      </c>
      <c r="F463">
        <v>71.09</v>
      </c>
    </row>
    <row r="464" spans="1:6">
      <c r="A464">
        <v>2596</v>
      </c>
      <c r="B464" t="s">
        <v>1460</v>
      </c>
      <c r="C464">
        <v>12.9</v>
      </c>
      <c r="D464">
        <f>VLOOKUP(A464,收盤價!A:C,3,0)</f>
        <v>12.95</v>
      </c>
      <c r="E464" s="188">
        <v>3.8759689922479791E-3</v>
      </c>
      <c r="F464">
        <v>12.88</v>
      </c>
    </row>
    <row r="465" spans="1:6">
      <c r="A465">
        <v>2597</v>
      </c>
      <c r="B465" t="s">
        <v>971</v>
      </c>
      <c r="C465">
        <v>31.6</v>
      </c>
      <c r="D465">
        <f>VLOOKUP(A465,收盤價!A:C,3,0)</f>
        <v>37.549999999999997</v>
      </c>
      <c r="E465" s="188">
        <v>0.18829113924050619</v>
      </c>
      <c r="F465">
        <v>50.19</v>
      </c>
    </row>
    <row r="466" spans="1:6">
      <c r="A466">
        <v>2601</v>
      </c>
      <c r="B466" t="s">
        <v>972</v>
      </c>
      <c r="C466">
        <v>9.5399999999999991</v>
      </c>
      <c r="D466">
        <f>VLOOKUP(A466,收盤價!A:C,3,0)</f>
        <v>10.7</v>
      </c>
      <c r="E466" s="188">
        <v>0.12159329140461218</v>
      </c>
      <c r="F466">
        <v>34.6</v>
      </c>
    </row>
    <row r="467" spans="1:6">
      <c r="A467">
        <v>2603</v>
      </c>
      <c r="B467" t="s">
        <v>973</v>
      </c>
      <c r="C467">
        <v>13.3</v>
      </c>
      <c r="D467">
        <f>VLOOKUP(A467,收盤價!A:C,3,0)</f>
        <v>14</v>
      </c>
      <c r="E467" s="188">
        <v>5.2631578947368363E-2</v>
      </c>
      <c r="F467">
        <v>19.57</v>
      </c>
    </row>
    <row r="468" spans="1:6">
      <c r="A468">
        <v>2605</v>
      </c>
      <c r="B468" t="s">
        <v>974</v>
      </c>
      <c r="C468">
        <v>17.75</v>
      </c>
      <c r="D468">
        <f>VLOOKUP(A468,收盤價!A:C,3,0)</f>
        <v>17.899999999999999</v>
      </c>
      <c r="E468" s="188">
        <v>8.450704225352032E-3</v>
      </c>
      <c r="F468">
        <v>13.57</v>
      </c>
    </row>
    <row r="469" spans="1:6">
      <c r="A469">
        <v>2606</v>
      </c>
      <c r="B469" t="s">
        <v>975</v>
      </c>
      <c r="C469">
        <v>28.45</v>
      </c>
      <c r="D469">
        <f>VLOOKUP(A469,收盤價!A:C,3,0)</f>
        <v>35.1</v>
      </c>
      <c r="E469" s="188">
        <v>0.23374340949033401</v>
      </c>
      <c r="F469">
        <v>60.23</v>
      </c>
    </row>
    <row r="470" spans="1:6">
      <c r="A470">
        <v>2607</v>
      </c>
      <c r="B470" t="s">
        <v>976</v>
      </c>
      <c r="C470">
        <v>12</v>
      </c>
      <c r="D470">
        <f>VLOOKUP(A470,收盤價!A:C,3,0)</f>
        <v>13.25</v>
      </c>
      <c r="E470" s="188">
        <v>0.10416666666666667</v>
      </c>
      <c r="F470">
        <v>30.3</v>
      </c>
    </row>
    <row r="471" spans="1:6">
      <c r="A471">
        <v>2608</v>
      </c>
      <c r="B471" t="s">
        <v>977</v>
      </c>
      <c r="C471">
        <v>34.799999999999997</v>
      </c>
      <c r="D471">
        <f>VLOOKUP(A471,收盤價!A:C,3,0)</f>
        <v>38.549999999999997</v>
      </c>
      <c r="E471" s="188">
        <v>0.10775862068965518</v>
      </c>
      <c r="F471">
        <v>31.12</v>
      </c>
    </row>
    <row r="472" spans="1:6">
      <c r="A472">
        <v>2609</v>
      </c>
      <c r="B472" t="s">
        <v>978</v>
      </c>
      <c r="C472">
        <v>9.1999999999999993</v>
      </c>
      <c r="D472">
        <f>VLOOKUP(A472,收盤價!A:C,3,0)</f>
        <v>9.26</v>
      </c>
      <c r="E472" s="188">
        <v>6.5217391304348369E-3</v>
      </c>
      <c r="F472">
        <v>13.13</v>
      </c>
    </row>
    <row r="473" spans="1:6">
      <c r="A473">
        <v>2610</v>
      </c>
      <c r="B473" t="s">
        <v>979</v>
      </c>
      <c r="C473">
        <v>11.35</v>
      </c>
      <c r="D473">
        <f>VLOOKUP(A473,收盤價!A:C,3,0)</f>
        <v>11.6</v>
      </c>
      <c r="E473" s="188">
        <v>2.2026431718061675E-2</v>
      </c>
      <c r="F473">
        <v>15.09</v>
      </c>
    </row>
    <row r="474" spans="1:6">
      <c r="A474">
        <v>2611</v>
      </c>
      <c r="B474" t="s">
        <v>980</v>
      </c>
      <c r="C474">
        <v>7.3</v>
      </c>
      <c r="D474">
        <f>VLOOKUP(A474,收盤價!A:C,3,0)</f>
        <v>7.8</v>
      </c>
      <c r="E474" s="188">
        <v>6.8493150684931503E-2</v>
      </c>
      <c r="F474">
        <v>22.03</v>
      </c>
    </row>
    <row r="475" spans="1:6">
      <c r="A475">
        <v>2612</v>
      </c>
      <c r="B475" t="s">
        <v>981</v>
      </c>
      <c r="C475">
        <v>20.9</v>
      </c>
      <c r="D475">
        <f>VLOOKUP(A475,收盤價!A:C,3,0)</f>
        <v>22.6</v>
      </c>
      <c r="E475" s="188">
        <v>8.1339712918660434E-2</v>
      </c>
      <c r="F475">
        <v>25</v>
      </c>
    </row>
    <row r="476" spans="1:6">
      <c r="A476">
        <v>2613</v>
      </c>
      <c r="B476" t="s">
        <v>982</v>
      </c>
      <c r="C476">
        <v>12.35</v>
      </c>
      <c r="D476">
        <f>VLOOKUP(A476,收盤價!A:C,3,0)</f>
        <v>13.95</v>
      </c>
      <c r="E476" s="188">
        <v>0.12955465587044532</v>
      </c>
      <c r="F476">
        <v>36.74</v>
      </c>
    </row>
    <row r="477" spans="1:6">
      <c r="A477">
        <v>2614</v>
      </c>
      <c r="B477" t="s">
        <v>983</v>
      </c>
      <c r="C477">
        <v>4.5199999999999996</v>
      </c>
      <c r="D477">
        <f>VLOOKUP(A477,收盤價!A:C,3,0)</f>
        <v>7.26</v>
      </c>
      <c r="E477" s="188">
        <v>0.60619469026548678</v>
      </c>
      <c r="F477">
        <v>94.38</v>
      </c>
    </row>
    <row r="478" spans="1:6">
      <c r="A478">
        <v>2615</v>
      </c>
      <c r="B478" t="s">
        <v>984</v>
      </c>
      <c r="C478">
        <v>20</v>
      </c>
      <c r="D478">
        <f>VLOOKUP(A478,收盤價!A:C,3,0)</f>
        <v>19</v>
      </c>
      <c r="E478" s="188">
        <v>-0.05</v>
      </c>
      <c r="F478">
        <v>7.89</v>
      </c>
    </row>
    <row r="479" spans="1:6">
      <c r="A479">
        <v>2616</v>
      </c>
      <c r="B479" t="s">
        <v>985</v>
      </c>
      <c r="C479">
        <v>20.65</v>
      </c>
      <c r="D479">
        <f>VLOOKUP(A479,收盤價!A:C,3,0)</f>
        <v>23</v>
      </c>
      <c r="E479" s="188">
        <v>0.11380145278450371</v>
      </c>
      <c r="F479">
        <v>32.770000000000003</v>
      </c>
    </row>
    <row r="480" spans="1:6">
      <c r="A480">
        <v>2617</v>
      </c>
      <c r="B480" t="s">
        <v>986</v>
      </c>
      <c r="C480">
        <v>11.8</v>
      </c>
      <c r="D480">
        <f>VLOOKUP(A480,收盤價!A:C,3,0)</f>
        <v>13.2</v>
      </c>
      <c r="E480" s="188">
        <v>0.11864406779661005</v>
      </c>
      <c r="F480">
        <v>33.78</v>
      </c>
    </row>
    <row r="481" spans="1:6">
      <c r="A481">
        <v>2618</v>
      </c>
      <c r="B481" t="s">
        <v>987</v>
      </c>
      <c r="C481">
        <v>20.2</v>
      </c>
      <c r="D481">
        <f>VLOOKUP(A481,收盤價!A:C,3,0)</f>
        <v>18.899999999999999</v>
      </c>
      <c r="E481" s="188">
        <v>-6.43564356435644E-2</v>
      </c>
      <c r="F481">
        <v>7.07</v>
      </c>
    </row>
    <row r="482" spans="1:6">
      <c r="A482">
        <v>2634</v>
      </c>
      <c r="B482" t="s">
        <v>988</v>
      </c>
      <c r="C482">
        <v>34.799999999999997</v>
      </c>
      <c r="D482">
        <f>VLOOKUP(A482,收盤價!A:C,3,0)</f>
        <v>41.45</v>
      </c>
      <c r="E482" s="188">
        <v>0.19109195402298867</v>
      </c>
      <c r="F482">
        <v>50.88</v>
      </c>
    </row>
    <row r="483" spans="1:6">
      <c r="A483">
        <v>2636</v>
      </c>
      <c r="B483" t="s">
        <v>1461</v>
      </c>
      <c r="C483">
        <v>23.4</v>
      </c>
      <c r="D483">
        <f>VLOOKUP(A483,收盤價!A:C,3,0)</f>
        <v>30.55</v>
      </c>
      <c r="E483" s="188">
        <v>0.30555555555555569</v>
      </c>
      <c r="F483">
        <v>72.599999999999994</v>
      </c>
    </row>
    <row r="484" spans="1:6">
      <c r="A484">
        <v>2637</v>
      </c>
      <c r="B484" t="s">
        <v>989</v>
      </c>
      <c r="C484">
        <v>35.700000000000003</v>
      </c>
      <c r="D484">
        <f>VLOOKUP(A484,收盤價!A:C,3,0)</f>
        <v>36.6</v>
      </c>
      <c r="E484" s="188">
        <v>2.5210084033613404E-2</v>
      </c>
      <c r="F484">
        <v>15.47</v>
      </c>
    </row>
    <row r="485" spans="1:6">
      <c r="A485">
        <v>2640</v>
      </c>
      <c r="B485" t="s">
        <v>1462</v>
      </c>
      <c r="C485">
        <v>64.3</v>
      </c>
      <c r="D485">
        <f>VLOOKUP(A485,收盤價!A:C,3,0)</f>
        <v>74.400000000000006</v>
      </c>
      <c r="E485" s="188">
        <v>0.15707620528771399</v>
      </c>
      <c r="F485">
        <v>43.06</v>
      </c>
    </row>
    <row r="486" spans="1:6">
      <c r="A486">
        <v>2641</v>
      </c>
      <c r="B486" t="s">
        <v>1463</v>
      </c>
      <c r="C486">
        <v>8.49</v>
      </c>
      <c r="D486">
        <f>VLOOKUP(A486,收盤價!A:C,3,0)</f>
        <v>9.1999999999999993</v>
      </c>
      <c r="E486" s="188">
        <v>8.3627797408716023E-2</v>
      </c>
      <c r="F486">
        <v>25.88</v>
      </c>
    </row>
    <row r="487" spans="1:6">
      <c r="A487">
        <v>2642</v>
      </c>
      <c r="B487" t="s">
        <v>990</v>
      </c>
      <c r="C487">
        <v>24.35</v>
      </c>
      <c r="D487">
        <f>VLOOKUP(A487,收盤價!A:C,3,0)</f>
        <v>31.6</v>
      </c>
      <c r="E487" s="188">
        <v>0.29774127310061599</v>
      </c>
      <c r="F487">
        <v>71.34</v>
      </c>
    </row>
    <row r="488" spans="1:6">
      <c r="A488">
        <v>2701</v>
      </c>
      <c r="B488" t="s">
        <v>991</v>
      </c>
      <c r="C488">
        <v>12.75</v>
      </c>
      <c r="D488">
        <f>VLOOKUP(A488,收盤價!A:C,3,0)</f>
        <v>14.2</v>
      </c>
      <c r="E488" s="188">
        <v>0.11372549019607837</v>
      </c>
      <c r="F488">
        <v>32.700000000000003</v>
      </c>
    </row>
    <row r="489" spans="1:6">
      <c r="A489">
        <v>2702</v>
      </c>
      <c r="B489" t="s">
        <v>992</v>
      </c>
      <c r="C489">
        <v>13.6</v>
      </c>
      <c r="D489">
        <f>VLOOKUP(A489,收盤價!A:C,3,0)</f>
        <v>15.25</v>
      </c>
      <c r="E489" s="188">
        <v>0.12132352941176473</v>
      </c>
      <c r="F489">
        <v>34.47</v>
      </c>
    </row>
    <row r="490" spans="1:6">
      <c r="A490">
        <v>2704</v>
      </c>
      <c r="B490" t="s">
        <v>993</v>
      </c>
      <c r="C490">
        <v>24.6</v>
      </c>
      <c r="D490">
        <f>VLOOKUP(A490,收盤價!A:C,3,0)</f>
        <v>27.9</v>
      </c>
      <c r="E490" s="188">
        <v>0.1341463414634145</v>
      </c>
      <c r="F490">
        <v>37.630000000000003</v>
      </c>
    </row>
    <row r="491" spans="1:6">
      <c r="A491">
        <v>2705</v>
      </c>
      <c r="B491" t="s">
        <v>994</v>
      </c>
      <c r="C491">
        <v>8.8000000000000007</v>
      </c>
      <c r="D491">
        <f>VLOOKUP(A491,收盤價!A:C,3,0)</f>
        <v>10.15</v>
      </c>
      <c r="E491" s="188">
        <v>0.15340909090909086</v>
      </c>
      <c r="F491">
        <v>41.73</v>
      </c>
    </row>
    <row r="492" spans="1:6">
      <c r="A492">
        <v>2706</v>
      </c>
      <c r="B492" t="s">
        <v>995</v>
      </c>
      <c r="C492">
        <v>19.45</v>
      </c>
      <c r="D492">
        <f>VLOOKUP(A492,收盤價!A:C,3,0)</f>
        <v>19.5</v>
      </c>
      <c r="E492" s="188">
        <v>2.5706940874036356E-3</v>
      </c>
      <c r="F492">
        <v>12.5</v>
      </c>
    </row>
    <row r="493" spans="1:6">
      <c r="A493">
        <v>2707</v>
      </c>
      <c r="B493" t="s">
        <v>996</v>
      </c>
      <c r="C493">
        <v>194.5</v>
      </c>
      <c r="D493">
        <f>VLOOKUP(A493,收盤價!A:C,3,0)</f>
        <v>230</v>
      </c>
      <c r="E493" s="188">
        <v>0.18251928020565553</v>
      </c>
      <c r="F493">
        <v>48.67</v>
      </c>
    </row>
    <row r="494" spans="1:6">
      <c r="A494">
        <v>2712</v>
      </c>
      <c r="B494" t="s">
        <v>997</v>
      </c>
      <c r="C494">
        <v>22.3</v>
      </c>
      <c r="D494">
        <f>VLOOKUP(A494,收盤價!A:C,3,0)</f>
        <v>24</v>
      </c>
      <c r="E494" s="188">
        <v>7.6233183856502212E-2</v>
      </c>
      <c r="F494">
        <v>23.86</v>
      </c>
    </row>
    <row r="495" spans="1:6">
      <c r="A495">
        <v>2718</v>
      </c>
      <c r="B495" t="s">
        <v>284</v>
      </c>
      <c r="C495">
        <v>0</v>
      </c>
      <c r="F495">
        <v>1.2</v>
      </c>
    </row>
    <row r="496" spans="1:6">
      <c r="A496">
        <v>2719</v>
      </c>
      <c r="B496" t="s">
        <v>285</v>
      </c>
      <c r="C496">
        <v>14.85</v>
      </c>
      <c r="D496">
        <f>VLOOKUP(A496,收盤價!A:C,3,0)</f>
        <v>18.3</v>
      </c>
      <c r="E496" s="188">
        <v>0.2323232323232324</v>
      </c>
      <c r="F496">
        <v>60.04</v>
      </c>
    </row>
    <row r="497" spans="1:6">
      <c r="A497">
        <v>2722</v>
      </c>
      <c r="B497" t="s">
        <v>998</v>
      </c>
      <c r="C497">
        <v>44.35</v>
      </c>
      <c r="D497">
        <f>VLOOKUP(A497,收盤價!A:C,3,0)</f>
        <v>44.85</v>
      </c>
      <c r="E497" s="188">
        <v>1.1273957158962795E-2</v>
      </c>
      <c r="F497">
        <v>13.76</v>
      </c>
    </row>
    <row r="498" spans="1:6">
      <c r="A498">
        <v>2723</v>
      </c>
      <c r="B498" t="s">
        <v>999</v>
      </c>
      <c r="C498">
        <v>161.5</v>
      </c>
      <c r="D498">
        <f>VLOOKUP(A498,收盤價!A:C,3,0)</f>
        <v>223</v>
      </c>
      <c r="E498" s="188">
        <v>0.38080495356037153</v>
      </c>
      <c r="F498">
        <v>82.83</v>
      </c>
    </row>
    <row r="499" spans="1:6">
      <c r="A499">
        <v>2724</v>
      </c>
      <c r="B499" t="s">
        <v>1464</v>
      </c>
      <c r="C499">
        <v>14.25</v>
      </c>
      <c r="D499">
        <f>VLOOKUP(A499,收盤價!A:C,3,0)</f>
        <v>16.850000000000001</v>
      </c>
      <c r="E499" s="188">
        <v>0.18245614035087729</v>
      </c>
      <c r="F499">
        <v>48.61</v>
      </c>
    </row>
    <row r="500" spans="1:6">
      <c r="A500">
        <v>2726</v>
      </c>
      <c r="B500" t="s">
        <v>1465</v>
      </c>
      <c r="C500">
        <v>48</v>
      </c>
      <c r="D500">
        <f>VLOOKUP(A500,收盤價!A:C,3,0)</f>
        <v>51.5</v>
      </c>
      <c r="E500" s="188">
        <v>7.2916666666666671E-2</v>
      </c>
      <c r="F500">
        <v>22.85</v>
      </c>
    </row>
    <row r="501" spans="1:6">
      <c r="A501">
        <v>2727</v>
      </c>
      <c r="B501" t="s">
        <v>1000</v>
      </c>
      <c r="C501">
        <v>158.5</v>
      </c>
      <c r="D501">
        <f>VLOOKUP(A501,收盤價!A:C,3,0)</f>
        <v>163</v>
      </c>
      <c r="E501" s="188">
        <v>2.8391167192429023E-2</v>
      </c>
      <c r="F501">
        <v>15.97</v>
      </c>
    </row>
    <row r="502" spans="1:6">
      <c r="A502">
        <v>2729</v>
      </c>
      <c r="B502" t="s">
        <v>1466</v>
      </c>
      <c r="C502">
        <v>219</v>
      </c>
      <c r="D502">
        <f>VLOOKUP(A502,收盤價!A:C,3,0)</f>
        <v>231.5</v>
      </c>
      <c r="E502" s="188">
        <v>5.7077625570776253E-2</v>
      </c>
      <c r="F502">
        <v>20.58</v>
      </c>
    </row>
    <row r="503" spans="1:6">
      <c r="A503">
        <v>2731</v>
      </c>
      <c r="B503" t="s">
        <v>1001</v>
      </c>
      <c r="C503">
        <v>119.5</v>
      </c>
      <c r="D503">
        <f>VLOOKUP(A503,收盤價!A:C,3,0)</f>
        <v>130.5</v>
      </c>
      <c r="E503" s="188">
        <v>9.2050209205020925E-2</v>
      </c>
      <c r="F503">
        <v>27.84</v>
      </c>
    </row>
    <row r="504" spans="1:6">
      <c r="A504">
        <v>2732</v>
      </c>
      <c r="B504" t="s">
        <v>1467</v>
      </c>
      <c r="C504">
        <v>83.9</v>
      </c>
      <c r="D504">
        <f>VLOOKUP(A504,收盤價!A:C,3,0)</f>
        <v>88.1</v>
      </c>
      <c r="E504" s="188">
        <v>5.0059594755661366E-2</v>
      </c>
      <c r="F504">
        <v>18.940000000000001</v>
      </c>
    </row>
    <row r="505" spans="1:6">
      <c r="A505">
        <v>2734</v>
      </c>
      <c r="B505" t="s">
        <v>286</v>
      </c>
      <c r="C505">
        <v>27.2</v>
      </c>
      <c r="D505">
        <f>VLOOKUP(A505,收盤價!A:C,3,0)</f>
        <v>28</v>
      </c>
      <c r="E505" s="188">
        <v>2.941176470588238E-2</v>
      </c>
      <c r="F505">
        <v>16.04</v>
      </c>
    </row>
    <row r="506" spans="1:6">
      <c r="A506">
        <v>2801</v>
      </c>
      <c r="B506" t="s">
        <v>1002</v>
      </c>
      <c r="C506">
        <v>14.1</v>
      </c>
      <c r="D506">
        <f>VLOOKUP(A506,收盤價!A:C,3,0)</f>
        <v>16.25</v>
      </c>
      <c r="E506" s="188">
        <v>0.15248226950354613</v>
      </c>
      <c r="F506">
        <v>41.54</v>
      </c>
    </row>
    <row r="507" spans="1:6">
      <c r="A507">
        <v>2809</v>
      </c>
      <c r="B507" t="s">
        <v>1003</v>
      </c>
      <c r="C507">
        <v>20.8</v>
      </c>
      <c r="D507">
        <f>VLOOKUP(A507,收盤價!A:C,3,0)</f>
        <v>25.05</v>
      </c>
      <c r="E507" s="188">
        <v>0.20432692307692307</v>
      </c>
      <c r="F507">
        <v>53.85</v>
      </c>
    </row>
    <row r="508" spans="1:6">
      <c r="A508">
        <v>2812</v>
      </c>
      <c r="B508" t="s">
        <v>1004</v>
      </c>
      <c r="C508">
        <v>9.69</v>
      </c>
      <c r="D508">
        <f>VLOOKUP(A508,收盤價!A:C,3,0)</f>
        <v>9.8699999999999992</v>
      </c>
      <c r="E508" s="188">
        <v>1.8575851393188826E-2</v>
      </c>
      <c r="F508">
        <v>14.71</v>
      </c>
    </row>
    <row r="509" spans="1:6">
      <c r="A509">
        <v>2816</v>
      </c>
      <c r="B509" t="s">
        <v>1005</v>
      </c>
      <c r="C509">
        <v>15.4</v>
      </c>
      <c r="D509">
        <f>VLOOKUP(A509,收盤價!A:C,3,0)</f>
        <v>17.899999999999999</v>
      </c>
      <c r="E509" s="188">
        <v>0.16233766233766223</v>
      </c>
      <c r="F509">
        <v>44</v>
      </c>
    </row>
    <row r="510" spans="1:6">
      <c r="A510">
        <v>2820</v>
      </c>
      <c r="B510" t="s">
        <v>1006</v>
      </c>
      <c r="C510">
        <v>10.95</v>
      </c>
      <c r="D510">
        <f>VLOOKUP(A510,收盤價!A:C,3,0)</f>
        <v>11.35</v>
      </c>
      <c r="E510" s="188">
        <v>3.6529680365296836E-2</v>
      </c>
      <c r="F510">
        <v>17.11</v>
      </c>
    </row>
    <row r="511" spans="1:6">
      <c r="A511">
        <v>2823</v>
      </c>
      <c r="B511" t="s">
        <v>1007</v>
      </c>
      <c r="C511">
        <v>21.9</v>
      </c>
      <c r="D511">
        <f>VLOOKUP(A511,收盤價!A:C,3,0)</f>
        <v>26.5</v>
      </c>
      <c r="E511" s="188">
        <v>0.21004566210045669</v>
      </c>
      <c r="F511">
        <v>55.11</v>
      </c>
    </row>
    <row r="512" spans="1:6">
      <c r="A512">
        <v>2832</v>
      </c>
      <c r="B512" t="s">
        <v>1008</v>
      </c>
      <c r="C512">
        <v>19.649999999999999</v>
      </c>
      <c r="D512">
        <f>VLOOKUP(A512,收盤價!A:C,3,0)</f>
        <v>21.9</v>
      </c>
      <c r="E512" s="188">
        <v>0.11450381679389314</v>
      </c>
      <c r="F512">
        <v>32.89</v>
      </c>
    </row>
    <row r="513" spans="1:6">
      <c r="A513">
        <v>2833</v>
      </c>
      <c r="B513" t="s">
        <v>1860</v>
      </c>
      <c r="C513">
        <v>27.1</v>
      </c>
      <c r="D513" t="e">
        <f>VLOOKUP(A513,收盤價!A:C,3,0)</f>
        <v>#N/A</v>
      </c>
      <c r="F513">
        <v>1.45</v>
      </c>
    </row>
    <row r="514" spans="1:6">
      <c r="A514">
        <v>2834</v>
      </c>
      <c r="B514" t="s">
        <v>1009</v>
      </c>
      <c r="C514">
        <v>8.08</v>
      </c>
      <c r="D514">
        <f>VLOOKUP(A514,收盤價!A:C,3,0)</f>
        <v>8.26</v>
      </c>
      <c r="E514" s="188">
        <v>2.2277227722772242E-2</v>
      </c>
      <c r="F514">
        <v>15.21</v>
      </c>
    </row>
    <row r="515" spans="1:6">
      <c r="A515">
        <v>2836</v>
      </c>
      <c r="B515" t="s">
        <v>1010</v>
      </c>
      <c r="C515">
        <v>8.1199999999999992</v>
      </c>
      <c r="D515">
        <f>VLOOKUP(A515,收盤價!A:C,3,0)</f>
        <v>8.7100000000000009</v>
      </c>
      <c r="E515" s="188">
        <v>7.266009852216769E-2</v>
      </c>
      <c r="F515">
        <v>22.73</v>
      </c>
    </row>
    <row r="516" spans="1:6">
      <c r="A516">
        <v>2838</v>
      </c>
      <c r="B516" t="s">
        <v>1011</v>
      </c>
      <c r="C516">
        <v>9.02</v>
      </c>
      <c r="D516">
        <f>VLOOKUP(A516,收盤價!A:C,3,0)</f>
        <v>9.61</v>
      </c>
      <c r="E516" s="188">
        <v>6.541019955654101E-2</v>
      </c>
      <c r="F516">
        <v>21.72</v>
      </c>
    </row>
    <row r="517" spans="1:6">
      <c r="A517">
        <v>2841</v>
      </c>
      <c r="B517" t="s">
        <v>1012</v>
      </c>
      <c r="C517">
        <v>9.35</v>
      </c>
      <c r="D517">
        <f>VLOOKUP(A517,收盤價!A:C,3,0)</f>
        <v>10.8</v>
      </c>
      <c r="E517" s="188">
        <v>0.15508021390374344</v>
      </c>
      <c r="F517">
        <v>42.3</v>
      </c>
    </row>
    <row r="518" spans="1:6">
      <c r="A518">
        <v>2845</v>
      </c>
      <c r="B518" t="s">
        <v>1013</v>
      </c>
      <c r="C518">
        <v>9.81</v>
      </c>
      <c r="D518">
        <f>VLOOKUP(A518,收盤價!A:C,3,0)</f>
        <v>10</v>
      </c>
      <c r="E518" s="188">
        <v>1.9367991845056012E-2</v>
      </c>
      <c r="F518">
        <v>14.77</v>
      </c>
    </row>
    <row r="519" spans="1:6">
      <c r="A519">
        <v>2847</v>
      </c>
      <c r="B519" t="s">
        <v>1014</v>
      </c>
      <c r="C519">
        <v>12.65</v>
      </c>
      <c r="D519">
        <f>VLOOKUP(A519,收盤價!A:C,3,0)</f>
        <v>13.7</v>
      </c>
      <c r="E519" s="188">
        <v>8.300395256916987E-2</v>
      </c>
      <c r="F519">
        <v>25.51</v>
      </c>
    </row>
    <row r="520" spans="1:6">
      <c r="A520">
        <v>2849</v>
      </c>
      <c r="B520" t="s">
        <v>1015</v>
      </c>
      <c r="C520">
        <v>14.8</v>
      </c>
      <c r="D520">
        <f>VLOOKUP(A520,收盤價!A:C,3,0)</f>
        <v>15.55</v>
      </c>
      <c r="E520" s="188">
        <v>5.0675675675675672E-2</v>
      </c>
      <c r="F520">
        <v>19.260000000000002</v>
      </c>
    </row>
    <row r="521" spans="1:6">
      <c r="A521">
        <v>2850</v>
      </c>
      <c r="B521" t="s">
        <v>1016</v>
      </c>
      <c r="C521">
        <v>18.95</v>
      </c>
      <c r="D521">
        <f>VLOOKUP(A521,收盤價!A:C,3,0)</f>
        <v>22.35</v>
      </c>
      <c r="E521" s="188">
        <v>0.17941952506596318</v>
      </c>
      <c r="F521">
        <v>47.85</v>
      </c>
    </row>
    <row r="522" spans="1:6">
      <c r="A522">
        <v>2851</v>
      </c>
      <c r="B522" t="s">
        <v>1017</v>
      </c>
      <c r="C522">
        <v>14.05</v>
      </c>
      <c r="D522">
        <f>VLOOKUP(A522,收盤價!A:C,3,0)</f>
        <v>15.15</v>
      </c>
      <c r="E522" s="188">
        <v>7.8291814946619187E-2</v>
      </c>
      <c r="F522">
        <v>24.24</v>
      </c>
    </row>
    <row r="523" spans="1:6">
      <c r="A523">
        <v>2852</v>
      </c>
      <c r="B523" t="s">
        <v>1018</v>
      </c>
      <c r="C523">
        <v>12.1</v>
      </c>
      <c r="D523">
        <f>VLOOKUP(A523,收盤價!A:C,3,0)</f>
        <v>12.7</v>
      </c>
      <c r="E523" s="188">
        <v>4.9586776859504106E-2</v>
      </c>
      <c r="F523">
        <v>18.88</v>
      </c>
    </row>
    <row r="524" spans="1:6">
      <c r="A524">
        <v>2855</v>
      </c>
      <c r="B524" t="s">
        <v>1019</v>
      </c>
      <c r="C524">
        <v>10.45</v>
      </c>
      <c r="D524">
        <f>VLOOKUP(A524,收盤價!A:C,3,0)</f>
        <v>14.7</v>
      </c>
      <c r="E524" s="188">
        <v>0.40669856459330145</v>
      </c>
      <c r="F524">
        <v>84.6</v>
      </c>
    </row>
    <row r="525" spans="1:6">
      <c r="A525">
        <v>2856</v>
      </c>
      <c r="B525" t="s">
        <v>1020</v>
      </c>
      <c r="C525">
        <v>7.52</v>
      </c>
      <c r="D525">
        <f>VLOOKUP(A525,收盤價!A:C,3,0)</f>
        <v>9.5</v>
      </c>
      <c r="E525" s="188">
        <v>0.26329787234042562</v>
      </c>
      <c r="F525">
        <v>65.59</v>
      </c>
    </row>
    <row r="526" spans="1:6">
      <c r="A526">
        <v>2867</v>
      </c>
      <c r="B526" t="s">
        <v>1021</v>
      </c>
      <c r="C526">
        <v>16.25</v>
      </c>
      <c r="D526">
        <f>VLOOKUP(A526,收盤價!A:C,3,0)</f>
        <v>19.399999999999999</v>
      </c>
      <c r="E526" s="188">
        <v>0.19384615384615375</v>
      </c>
      <c r="F526">
        <v>51.33</v>
      </c>
    </row>
    <row r="527" spans="1:6">
      <c r="A527">
        <v>2880</v>
      </c>
      <c r="B527" t="s">
        <v>1022</v>
      </c>
      <c r="C527">
        <v>14.5</v>
      </c>
      <c r="D527">
        <f>VLOOKUP(A527,收盤價!A:C,3,0)</f>
        <v>15.65</v>
      </c>
      <c r="E527" s="188">
        <v>7.9310344827586227E-2</v>
      </c>
      <c r="F527">
        <v>24.43</v>
      </c>
    </row>
    <row r="528" spans="1:6">
      <c r="A528">
        <v>2881</v>
      </c>
      <c r="B528" t="s">
        <v>1023</v>
      </c>
      <c r="C528">
        <v>50.3</v>
      </c>
      <c r="D528">
        <f>VLOOKUP(A528,收盤價!A:C,3,0)</f>
        <v>53.2</v>
      </c>
      <c r="E528" s="188">
        <v>5.76540755467198E-2</v>
      </c>
      <c r="F528">
        <v>20.77</v>
      </c>
    </row>
    <row r="529" spans="1:6">
      <c r="A529">
        <v>2882</v>
      </c>
      <c r="B529" t="s">
        <v>1024</v>
      </c>
      <c r="C529">
        <v>41</v>
      </c>
      <c r="D529">
        <f>VLOOKUP(A529,收盤價!A:C,3,0)</f>
        <v>46.4</v>
      </c>
      <c r="E529" s="188">
        <v>0.13170731707317071</v>
      </c>
      <c r="F529">
        <v>37.119999999999997</v>
      </c>
    </row>
    <row r="530" spans="1:6">
      <c r="A530">
        <v>2883</v>
      </c>
      <c r="B530" t="s">
        <v>1025</v>
      </c>
      <c r="C530">
        <v>8.16</v>
      </c>
      <c r="D530">
        <f>VLOOKUP(A530,收盤價!A:C,3,0)</f>
        <v>8.6999999999999993</v>
      </c>
      <c r="E530" s="188">
        <v>6.6176470588235184E-2</v>
      </c>
      <c r="F530">
        <v>21.78</v>
      </c>
    </row>
    <row r="531" spans="1:6">
      <c r="A531">
        <v>2884</v>
      </c>
      <c r="B531" t="s">
        <v>1026</v>
      </c>
      <c r="C531">
        <v>18.2</v>
      </c>
      <c r="D531">
        <f>VLOOKUP(A531,收盤價!A:C,3,0)</f>
        <v>19.649999999999999</v>
      </c>
      <c r="E531" s="188">
        <v>7.9670329670329637E-2</v>
      </c>
      <c r="F531">
        <v>24.62</v>
      </c>
    </row>
    <row r="532" spans="1:6">
      <c r="A532">
        <v>2885</v>
      </c>
      <c r="B532" t="s">
        <v>1027</v>
      </c>
      <c r="C532">
        <v>12</v>
      </c>
      <c r="D532">
        <f>VLOOKUP(A532,收盤價!A:C,3,0)</f>
        <v>12.9</v>
      </c>
      <c r="E532" s="188">
        <v>7.5000000000000025E-2</v>
      </c>
      <c r="F532">
        <v>23.55</v>
      </c>
    </row>
    <row r="533" spans="1:6">
      <c r="A533">
        <v>2886</v>
      </c>
      <c r="B533" t="s">
        <v>1028</v>
      </c>
      <c r="C533">
        <v>22.3</v>
      </c>
      <c r="D533">
        <f>VLOOKUP(A533,收盤價!A:C,3,0)</f>
        <v>22.6</v>
      </c>
      <c r="E533" s="188">
        <v>1.345291479820631E-2</v>
      </c>
      <c r="F533">
        <v>14.02</v>
      </c>
    </row>
    <row r="534" spans="1:6">
      <c r="A534">
        <v>2887</v>
      </c>
      <c r="B534" t="s">
        <v>1029</v>
      </c>
      <c r="C534">
        <v>10.25</v>
      </c>
      <c r="D534">
        <f>VLOOKUP(A534,收盤價!A:C,3,0)</f>
        <v>12.35</v>
      </c>
      <c r="E534" s="188">
        <v>0.20487804878048776</v>
      </c>
      <c r="F534">
        <v>53.91</v>
      </c>
    </row>
    <row r="535" spans="1:6">
      <c r="A535">
        <v>2888</v>
      </c>
      <c r="B535" t="s">
        <v>1030</v>
      </c>
      <c r="C535">
        <v>7</v>
      </c>
      <c r="D535">
        <f>VLOOKUP(A535,收盤價!A:C,3,0)</f>
        <v>7.58</v>
      </c>
      <c r="E535" s="188">
        <v>8.2857142857142865E-2</v>
      </c>
      <c r="F535">
        <v>25.38</v>
      </c>
    </row>
    <row r="536" spans="1:6">
      <c r="A536">
        <v>2889</v>
      </c>
      <c r="B536" t="s">
        <v>1031</v>
      </c>
      <c r="C536">
        <v>6.82</v>
      </c>
      <c r="D536">
        <f>VLOOKUP(A536,收盤價!A:C,3,0)</f>
        <v>7.95</v>
      </c>
      <c r="E536" s="188">
        <v>0.16568914956011727</v>
      </c>
      <c r="F536">
        <v>44.38</v>
      </c>
    </row>
    <row r="537" spans="1:6">
      <c r="A537">
        <v>2890</v>
      </c>
      <c r="B537" t="s">
        <v>1032</v>
      </c>
      <c r="C537">
        <v>9.67</v>
      </c>
      <c r="D537">
        <f>VLOOKUP(A537,收盤價!A:C,3,0)</f>
        <v>10.5</v>
      </c>
      <c r="E537" s="188">
        <v>8.583247156153051E-2</v>
      </c>
      <c r="F537">
        <v>26.39</v>
      </c>
    </row>
    <row r="538" spans="1:6">
      <c r="A538">
        <v>2891</v>
      </c>
      <c r="B538" t="s">
        <v>1033</v>
      </c>
      <c r="C538">
        <v>17.600000000000001</v>
      </c>
      <c r="D538">
        <f>VLOOKUP(A538,收盤價!A:C,3,0)</f>
        <v>17.649999999999999</v>
      </c>
      <c r="E538" s="188">
        <v>2.8409090909089292E-3</v>
      </c>
      <c r="F538">
        <v>12.56</v>
      </c>
    </row>
    <row r="539" spans="1:6">
      <c r="A539">
        <v>2892</v>
      </c>
      <c r="B539" t="s">
        <v>1036</v>
      </c>
      <c r="C539">
        <v>15</v>
      </c>
      <c r="D539">
        <f>VLOOKUP(A539,收盤價!A:C,3,0)</f>
        <v>15.4</v>
      </c>
      <c r="E539" s="188">
        <v>2.6666666666666689E-2</v>
      </c>
      <c r="F539">
        <v>15.78</v>
      </c>
    </row>
    <row r="540" spans="1:6">
      <c r="A540">
        <v>2901</v>
      </c>
      <c r="B540" t="s">
        <v>1037</v>
      </c>
      <c r="C540">
        <v>27.25</v>
      </c>
      <c r="D540">
        <f>VLOOKUP(A540,收盤價!A:C,3,0)</f>
        <v>26.7</v>
      </c>
      <c r="E540" s="188">
        <v>-2.0183486238532135E-2</v>
      </c>
      <c r="F540">
        <v>10.16</v>
      </c>
    </row>
    <row r="541" spans="1:6">
      <c r="A541">
        <v>2903</v>
      </c>
      <c r="B541" t="s">
        <v>1038</v>
      </c>
      <c r="C541">
        <v>14.5</v>
      </c>
      <c r="D541">
        <f>VLOOKUP(A541,收盤價!A:C,3,0)</f>
        <v>18.5</v>
      </c>
      <c r="E541" s="188">
        <v>0.27586206896551724</v>
      </c>
      <c r="F541">
        <v>67.87</v>
      </c>
    </row>
    <row r="542" spans="1:6">
      <c r="A542">
        <v>2904</v>
      </c>
      <c r="B542" t="s">
        <v>1039</v>
      </c>
      <c r="C542">
        <v>24.5</v>
      </c>
      <c r="D542">
        <f>VLOOKUP(A542,收盤價!A:C,3,0)</f>
        <v>25.65</v>
      </c>
      <c r="E542" s="188">
        <v>4.6938775510204027E-2</v>
      </c>
      <c r="F542">
        <v>18.5</v>
      </c>
    </row>
    <row r="543" spans="1:6">
      <c r="A543">
        <v>2905</v>
      </c>
      <c r="B543" t="s">
        <v>1040</v>
      </c>
      <c r="C543">
        <v>16.399999999999999</v>
      </c>
      <c r="D543">
        <f>VLOOKUP(A543,收盤價!A:C,3,0)</f>
        <v>21.5</v>
      </c>
      <c r="E543" s="188">
        <v>0.31097560975609767</v>
      </c>
      <c r="F543">
        <v>73.61</v>
      </c>
    </row>
    <row r="544" spans="1:6">
      <c r="A544">
        <v>2906</v>
      </c>
      <c r="B544" t="s">
        <v>1041</v>
      </c>
      <c r="C544">
        <v>11.75</v>
      </c>
      <c r="D544">
        <f>VLOOKUP(A544,收盤價!A:C,3,0)</f>
        <v>12.5</v>
      </c>
      <c r="E544" s="188">
        <v>6.3829787234042548E-2</v>
      </c>
      <c r="F544">
        <v>21.65</v>
      </c>
    </row>
    <row r="545" spans="1:6">
      <c r="A545">
        <v>2908</v>
      </c>
      <c r="B545" t="s">
        <v>1042</v>
      </c>
      <c r="C545">
        <v>19.7</v>
      </c>
      <c r="D545">
        <f>VLOOKUP(A545,收盤價!A:C,3,0)</f>
        <v>19.75</v>
      </c>
      <c r="E545" s="188">
        <v>2.5380710659898839E-3</v>
      </c>
      <c r="F545">
        <v>12.44</v>
      </c>
    </row>
    <row r="546" spans="1:6">
      <c r="A546">
        <v>2910</v>
      </c>
      <c r="B546" t="s">
        <v>1043</v>
      </c>
      <c r="C546">
        <v>21.6</v>
      </c>
      <c r="D546">
        <f>VLOOKUP(A546,收盤價!A:C,3,0)</f>
        <v>29.3</v>
      </c>
      <c r="E546" s="188">
        <v>0.3564814814814814</v>
      </c>
      <c r="F546">
        <v>79.67</v>
      </c>
    </row>
    <row r="547" spans="1:6">
      <c r="A547">
        <v>2911</v>
      </c>
      <c r="B547" t="s">
        <v>1044</v>
      </c>
      <c r="C547">
        <v>12.45</v>
      </c>
      <c r="D547">
        <f>VLOOKUP(A547,收盤價!A:C,3,0)</f>
        <v>17.850000000000001</v>
      </c>
      <c r="E547" s="188">
        <v>0.43373493975903632</v>
      </c>
      <c r="F547">
        <v>86.74</v>
      </c>
    </row>
    <row r="548" spans="1:6">
      <c r="A548">
        <v>2912</v>
      </c>
      <c r="B548" t="s">
        <v>1045</v>
      </c>
      <c r="C548">
        <v>200</v>
      </c>
      <c r="D548">
        <f>VLOOKUP(A548,收盤價!A:C,3,0)</f>
        <v>211.5</v>
      </c>
      <c r="E548" s="188">
        <v>5.7500000000000002E-2</v>
      </c>
      <c r="F548">
        <v>20.71</v>
      </c>
    </row>
    <row r="549" spans="1:6">
      <c r="A549">
        <v>2913</v>
      </c>
      <c r="B549" t="s">
        <v>1046</v>
      </c>
      <c r="C549">
        <v>12.2</v>
      </c>
      <c r="D549">
        <f>VLOOKUP(A549,收盤價!A:C,3,0)</f>
        <v>13.75</v>
      </c>
      <c r="E549" s="188">
        <v>0.12704918032786891</v>
      </c>
      <c r="F549">
        <v>36.11</v>
      </c>
    </row>
    <row r="550" spans="1:6">
      <c r="A550">
        <v>2915</v>
      </c>
      <c r="B550" t="s">
        <v>1047</v>
      </c>
      <c r="C550">
        <v>46.55</v>
      </c>
      <c r="D550">
        <f>VLOOKUP(A550,收盤價!A:C,3,0)</f>
        <v>57</v>
      </c>
      <c r="E550" s="188">
        <v>0.22448979591836743</v>
      </c>
      <c r="F550">
        <v>58.4</v>
      </c>
    </row>
    <row r="551" spans="1:6">
      <c r="A551">
        <v>2916</v>
      </c>
      <c r="B551" t="s">
        <v>1468</v>
      </c>
      <c r="C551">
        <v>15.5</v>
      </c>
      <c r="D551">
        <f>VLOOKUP(A551,收盤價!A:C,3,0)</f>
        <v>18.3</v>
      </c>
      <c r="E551" s="188">
        <v>0.18064516129032263</v>
      </c>
      <c r="F551">
        <v>48.04</v>
      </c>
    </row>
    <row r="552" spans="1:6">
      <c r="A552">
        <v>2923</v>
      </c>
      <c r="B552" t="s">
        <v>1048</v>
      </c>
      <c r="C552">
        <v>18.95</v>
      </c>
      <c r="D552">
        <f>VLOOKUP(A552,收盤價!A:C,3,0)</f>
        <v>23.7</v>
      </c>
      <c r="E552" s="188">
        <v>0.2506596306068602</v>
      </c>
      <c r="F552">
        <v>63.32</v>
      </c>
    </row>
    <row r="553" spans="1:6">
      <c r="A553">
        <v>2924</v>
      </c>
      <c r="B553" t="s">
        <v>1469</v>
      </c>
      <c r="C553">
        <v>72</v>
      </c>
      <c r="D553">
        <f>VLOOKUP(A553,收盤價!A:C,3,0)</f>
        <v>62.5</v>
      </c>
      <c r="E553" s="188">
        <v>-0.13194444444444445</v>
      </c>
      <c r="F553">
        <v>4.55</v>
      </c>
    </row>
    <row r="554" spans="1:6">
      <c r="A554">
        <v>2926</v>
      </c>
      <c r="B554" t="s">
        <v>1470</v>
      </c>
      <c r="C554">
        <v>147</v>
      </c>
      <c r="D554">
        <f>VLOOKUP(A554,收盤價!A:C,3,0)</f>
        <v>156</v>
      </c>
      <c r="E554" s="188">
        <v>6.1224489795918366E-2</v>
      </c>
      <c r="F554">
        <v>21.02</v>
      </c>
    </row>
    <row r="555" spans="1:6">
      <c r="A555">
        <v>2929</v>
      </c>
      <c r="B555" t="s">
        <v>1049</v>
      </c>
      <c r="C555">
        <v>103.5</v>
      </c>
      <c r="D555">
        <f>VLOOKUP(A555,收盤價!A:C,3,0)</f>
        <v>157</v>
      </c>
      <c r="E555" s="188">
        <v>0.51690821256038644</v>
      </c>
      <c r="F555">
        <v>91.54</v>
      </c>
    </row>
    <row r="556" spans="1:6">
      <c r="A556">
        <v>3002</v>
      </c>
      <c r="B556" t="s">
        <v>1050</v>
      </c>
      <c r="C556">
        <v>11.5</v>
      </c>
      <c r="D556">
        <f>VLOOKUP(A556,收盤價!A:C,3,0)</f>
        <v>10.8</v>
      </c>
      <c r="E556" s="188">
        <v>-6.0869565217391244E-2</v>
      </c>
      <c r="F556">
        <v>7.26</v>
      </c>
    </row>
    <row r="557" spans="1:6">
      <c r="A557">
        <v>3003</v>
      </c>
      <c r="B557" t="s">
        <v>1051</v>
      </c>
      <c r="C557">
        <v>26.9</v>
      </c>
      <c r="D557">
        <f>VLOOKUP(A557,收盤價!A:C,3,0)</f>
        <v>38.799999999999997</v>
      </c>
      <c r="E557" s="188">
        <v>0.44237918215613381</v>
      </c>
      <c r="F557">
        <v>87.63</v>
      </c>
    </row>
    <row r="558" spans="1:6">
      <c r="A558">
        <v>3004</v>
      </c>
      <c r="B558" t="s">
        <v>1052</v>
      </c>
      <c r="C558">
        <v>36.6</v>
      </c>
      <c r="D558">
        <f>VLOOKUP(A558,收盤價!A:C,3,0)</f>
        <v>55.4</v>
      </c>
      <c r="E558" s="188">
        <v>0.51366120218579225</v>
      </c>
      <c r="F558">
        <v>91.48</v>
      </c>
    </row>
    <row r="559" spans="1:6">
      <c r="A559">
        <v>3005</v>
      </c>
      <c r="B559" t="s">
        <v>1053</v>
      </c>
      <c r="C559">
        <v>17.5</v>
      </c>
      <c r="D559">
        <f>VLOOKUP(A559,收盤價!A:C,3,0)</f>
        <v>21.65</v>
      </c>
      <c r="E559" s="188">
        <v>0.23714285714285707</v>
      </c>
      <c r="F559">
        <v>60.92</v>
      </c>
    </row>
    <row r="560" spans="1:6">
      <c r="A560">
        <v>3006</v>
      </c>
      <c r="B560" t="s">
        <v>1054</v>
      </c>
      <c r="C560">
        <v>22.2</v>
      </c>
      <c r="D560">
        <f>VLOOKUP(A560,收盤價!A:C,3,0)</f>
        <v>29.9</v>
      </c>
      <c r="E560" s="188">
        <v>0.3468468468468468</v>
      </c>
      <c r="F560">
        <v>78.66</v>
      </c>
    </row>
    <row r="561" spans="1:6">
      <c r="A561">
        <v>3008</v>
      </c>
      <c r="B561" t="s">
        <v>1055</v>
      </c>
      <c r="C561">
        <v>2680</v>
      </c>
      <c r="D561">
        <f>VLOOKUP(A561,收盤價!A:C,3,0)</f>
        <v>2490</v>
      </c>
      <c r="E561" s="188">
        <v>-7.0895522388059698E-2</v>
      </c>
      <c r="F561">
        <v>6.69</v>
      </c>
    </row>
    <row r="562" spans="1:6">
      <c r="A562">
        <v>3010</v>
      </c>
      <c r="B562" t="s">
        <v>1056</v>
      </c>
      <c r="C562">
        <v>40.25</v>
      </c>
      <c r="D562">
        <f>VLOOKUP(A562,收盤價!A:C,3,0)</f>
        <v>44.2</v>
      </c>
      <c r="E562" s="188">
        <v>9.8136645962732985E-2</v>
      </c>
      <c r="F562">
        <v>29.17</v>
      </c>
    </row>
    <row r="563" spans="1:6">
      <c r="A563">
        <v>3011</v>
      </c>
      <c r="B563" t="s">
        <v>1057</v>
      </c>
      <c r="C563">
        <v>4.1900000000000004</v>
      </c>
      <c r="D563">
        <f>VLOOKUP(A563,收盤價!A:C,3,0)</f>
        <v>6.52</v>
      </c>
      <c r="E563" s="188">
        <v>0.55608591885441505</v>
      </c>
      <c r="F563">
        <v>92.8</v>
      </c>
    </row>
    <row r="564" spans="1:6">
      <c r="A564">
        <v>3013</v>
      </c>
      <c r="B564" t="s">
        <v>1058</v>
      </c>
      <c r="C564">
        <v>18.149999999999999</v>
      </c>
      <c r="D564">
        <f>VLOOKUP(A564,收盤價!A:C,3,0)</f>
        <v>17.899999999999999</v>
      </c>
      <c r="E564" s="188">
        <v>-1.3774104683195593E-2</v>
      </c>
      <c r="F564">
        <v>10.61</v>
      </c>
    </row>
    <row r="565" spans="1:6">
      <c r="A565">
        <v>3014</v>
      </c>
      <c r="B565" t="s">
        <v>1059</v>
      </c>
      <c r="C565">
        <v>20.8</v>
      </c>
      <c r="D565">
        <f>VLOOKUP(A565,收盤價!A:C,3,0)</f>
        <v>28.3</v>
      </c>
      <c r="E565" s="188">
        <v>0.36057692307692307</v>
      </c>
      <c r="F565">
        <v>80.3</v>
      </c>
    </row>
    <row r="566" spans="1:6">
      <c r="A566">
        <v>3015</v>
      </c>
      <c r="B566" t="s">
        <v>1863</v>
      </c>
      <c r="C566">
        <v>13.8</v>
      </c>
      <c r="D566">
        <f>VLOOKUP(A566,收盤價!A:C,3,0)</f>
        <v>19.95</v>
      </c>
      <c r="E566" s="188">
        <v>0.44565217391304335</v>
      </c>
      <c r="F566">
        <v>87.94</v>
      </c>
    </row>
    <row r="567" spans="1:6">
      <c r="A567">
        <v>3016</v>
      </c>
      <c r="B567" t="s">
        <v>1060</v>
      </c>
      <c r="C567">
        <v>9.61</v>
      </c>
      <c r="D567">
        <f>VLOOKUP(A567,收盤價!A:C,3,0)</f>
        <v>14.4</v>
      </c>
      <c r="E567" s="188">
        <v>0.49843912591050998</v>
      </c>
      <c r="F567">
        <v>90.72</v>
      </c>
    </row>
    <row r="568" spans="1:6">
      <c r="A568">
        <v>3017</v>
      </c>
      <c r="B568" t="s">
        <v>1061</v>
      </c>
      <c r="C568">
        <v>18.45</v>
      </c>
      <c r="D568">
        <f>VLOOKUP(A568,收盤價!A:C,3,0)</f>
        <v>26.5</v>
      </c>
      <c r="E568" s="188">
        <v>0.43631436314363148</v>
      </c>
      <c r="F568">
        <v>86.99</v>
      </c>
    </row>
    <row r="569" spans="1:6">
      <c r="A569">
        <v>3018</v>
      </c>
      <c r="B569" t="s">
        <v>1062</v>
      </c>
      <c r="C569">
        <v>15.35</v>
      </c>
      <c r="D569">
        <f>VLOOKUP(A569,收盤價!A:C,3,0)</f>
        <v>17.850000000000001</v>
      </c>
      <c r="E569" s="188">
        <v>0.16286644951140078</v>
      </c>
      <c r="F569">
        <v>44.07</v>
      </c>
    </row>
    <row r="570" spans="1:6">
      <c r="A570">
        <v>3019</v>
      </c>
      <c r="B570" t="s">
        <v>1063</v>
      </c>
      <c r="C570">
        <v>23.95</v>
      </c>
      <c r="D570">
        <f>VLOOKUP(A570,收盤價!A:C,3,0)</f>
        <v>31</v>
      </c>
      <c r="E570" s="188">
        <v>0.29436325678496872</v>
      </c>
      <c r="F570">
        <v>70.83</v>
      </c>
    </row>
    <row r="571" spans="1:6">
      <c r="A571">
        <v>3021</v>
      </c>
      <c r="B571" t="s">
        <v>1064</v>
      </c>
      <c r="C571">
        <v>10.35</v>
      </c>
      <c r="D571">
        <f>VLOOKUP(A571,收盤價!A:C,3,0)</f>
        <v>11.9</v>
      </c>
      <c r="E571" s="188">
        <v>0.14975845410628028</v>
      </c>
      <c r="F571">
        <v>41.16</v>
      </c>
    </row>
    <row r="572" spans="1:6">
      <c r="A572">
        <v>3022</v>
      </c>
      <c r="B572" t="s">
        <v>1065</v>
      </c>
      <c r="C572">
        <v>33.1</v>
      </c>
      <c r="D572">
        <f>VLOOKUP(A572,收盤價!A:C,3,0)</f>
        <v>39.700000000000003</v>
      </c>
      <c r="E572" s="188">
        <v>0.19939577039274928</v>
      </c>
      <c r="F572">
        <v>52.78</v>
      </c>
    </row>
    <row r="573" spans="1:6">
      <c r="A573">
        <v>3023</v>
      </c>
      <c r="B573" t="s">
        <v>1066</v>
      </c>
      <c r="C573">
        <v>46.5</v>
      </c>
      <c r="D573">
        <f>VLOOKUP(A573,收盤價!A:C,3,0)</f>
        <v>60.2</v>
      </c>
      <c r="E573" s="188">
        <v>0.29462365591397854</v>
      </c>
      <c r="F573">
        <v>70.900000000000006</v>
      </c>
    </row>
    <row r="574" spans="1:6">
      <c r="A574">
        <v>3024</v>
      </c>
      <c r="B574" t="s">
        <v>1067</v>
      </c>
      <c r="C574">
        <v>3.6</v>
      </c>
      <c r="D574">
        <f>VLOOKUP(A574,收盤價!A:C,3,0)</f>
        <v>4.38</v>
      </c>
      <c r="E574" s="188">
        <v>0.21666666666666662</v>
      </c>
      <c r="F574">
        <v>56.94</v>
      </c>
    </row>
    <row r="575" spans="1:6">
      <c r="A575">
        <v>3025</v>
      </c>
      <c r="B575" t="s">
        <v>1068</v>
      </c>
      <c r="C575">
        <v>6.77</v>
      </c>
      <c r="D575">
        <f>VLOOKUP(A575,收盤價!A:C,3,0)</f>
        <v>8.33</v>
      </c>
      <c r="E575" s="188">
        <v>0.23042836041358944</v>
      </c>
      <c r="F575">
        <v>59.72</v>
      </c>
    </row>
    <row r="576" spans="1:6">
      <c r="A576">
        <v>3026</v>
      </c>
      <c r="B576" t="s">
        <v>1069</v>
      </c>
      <c r="C576">
        <v>28</v>
      </c>
      <c r="D576">
        <f>VLOOKUP(A576,收盤價!A:C,3,0)</f>
        <v>32.9</v>
      </c>
      <c r="E576" s="188">
        <v>0.17499999999999996</v>
      </c>
      <c r="F576">
        <v>47.03</v>
      </c>
    </row>
    <row r="577" spans="1:6">
      <c r="A577">
        <v>3027</v>
      </c>
      <c r="B577" t="s">
        <v>1070</v>
      </c>
      <c r="C577">
        <v>8.9600000000000009</v>
      </c>
      <c r="D577">
        <f>VLOOKUP(A577,收盤價!A:C,3,0)</f>
        <v>13.8</v>
      </c>
      <c r="E577" s="188">
        <v>0.5401785714285714</v>
      </c>
      <c r="F577">
        <v>92.42</v>
      </c>
    </row>
    <row r="578" spans="1:6">
      <c r="A578">
        <v>3028</v>
      </c>
      <c r="B578" t="s">
        <v>1071</v>
      </c>
      <c r="C578">
        <v>14.7</v>
      </c>
      <c r="D578">
        <f>VLOOKUP(A578,收盤價!A:C,3,0)</f>
        <v>16</v>
      </c>
      <c r="E578" s="188">
        <v>8.843537414965992E-2</v>
      </c>
      <c r="F578">
        <v>26.96</v>
      </c>
    </row>
    <row r="579" spans="1:6">
      <c r="A579">
        <v>3029</v>
      </c>
      <c r="B579" t="s">
        <v>1072</v>
      </c>
      <c r="C579">
        <v>15.35</v>
      </c>
      <c r="D579">
        <f>VLOOKUP(A579,收盤價!A:C,3,0)</f>
        <v>19.5</v>
      </c>
      <c r="E579" s="188">
        <v>0.27035830618892509</v>
      </c>
      <c r="F579">
        <v>66.41</v>
      </c>
    </row>
    <row r="580" spans="1:6">
      <c r="A580">
        <v>3030</v>
      </c>
      <c r="B580" t="s">
        <v>1073</v>
      </c>
      <c r="C580">
        <v>48.3</v>
      </c>
      <c r="D580">
        <f>VLOOKUP(A580,收盤價!A:C,3,0)</f>
        <v>54</v>
      </c>
      <c r="E580" s="188">
        <v>0.11801242236024852</v>
      </c>
      <c r="F580">
        <v>33.520000000000003</v>
      </c>
    </row>
    <row r="581" spans="1:6">
      <c r="A581">
        <v>3031</v>
      </c>
      <c r="B581" t="s">
        <v>1074</v>
      </c>
      <c r="C581">
        <v>8</v>
      </c>
      <c r="D581">
        <f>VLOOKUP(A581,收盤價!A:C,3,0)</f>
        <v>9.9600000000000009</v>
      </c>
      <c r="E581" s="188">
        <v>0.24500000000000011</v>
      </c>
      <c r="F581">
        <v>62.37</v>
      </c>
    </row>
    <row r="582" spans="1:6">
      <c r="A582">
        <v>3032</v>
      </c>
      <c r="B582" t="s">
        <v>1075</v>
      </c>
      <c r="C582">
        <v>13.95</v>
      </c>
      <c r="D582">
        <f>VLOOKUP(A582,收盤價!A:C,3,0)</f>
        <v>20.95</v>
      </c>
      <c r="E582" s="188">
        <v>0.50179211469534057</v>
      </c>
      <c r="F582">
        <v>91.04</v>
      </c>
    </row>
    <row r="583" spans="1:6">
      <c r="A583">
        <v>3033</v>
      </c>
      <c r="B583" t="s">
        <v>1076</v>
      </c>
      <c r="C583">
        <v>16</v>
      </c>
      <c r="D583">
        <f>VLOOKUP(A583,收盤價!A:C,3,0)</f>
        <v>19.7</v>
      </c>
      <c r="E583" s="188">
        <v>0.23124999999999996</v>
      </c>
      <c r="F583">
        <v>59.85</v>
      </c>
    </row>
    <row r="584" spans="1:6">
      <c r="A584">
        <v>3034</v>
      </c>
      <c r="B584" t="s">
        <v>1077</v>
      </c>
      <c r="C584">
        <v>102</v>
      </c>
      <c r="D584">
        <f>VLOOKUP(A584,收盤價!A:C,3,0)</f>
        <v>115.5</v>
      </c>
      <c r="E584" s="188">
        <v>0.13235294117647059</v>
      </c>
      <c r="F584">
        <v>37.25</v>
      </c>
    </row>
    <row r="585" spans="1:6">
      <c r="A585">
        <v>3035</v>
      </c>
      <c r="B585" t="s">
        <v>1078</v>
      </c>
      <c r="C585">
        <v>23.85</v>
      </c>
      <c r="D585">
        <f>VLOOKUP(A585,收盤價!A:C,3,0)</f>
        <v>46.5</v>
      </c>
      <c r="E585" s="188">
        <v>0.94968553459119487</v>
      </c>
      <c r="F585">
        <v>98.48</v>
      </c>
    </row>
    <row r="586" spans="1:6">
      <c r="A586">
        <v>3036</v>
      </c>
      <c r="B586" t="s">
        <v>1079</v>
      </c>
      <c r="C586">
        <v>30.1</v>
      </c>
      <c r="D586">
        <f>VLOOKUP(A586,收盤價!A:C,3,0)</f>
        <v>34.799999999999997</v>
      </c>
      <c r="E586" s="188">
        <v>0.15614617940199321</v>
      </c>
      <c r="F586">
        <v>42.8</v>
      </c>
    </row>
    <row r="587" spans="1:6">
      <c r="A587">
        <v>3037</v>
      </c>
      <c r="B587" t="s">
        <v>1080</v>
      </c>
      <c r="C587">
        <v>10.3</v>
      </c>
      <c r="D587">
        <f>VLOOKUP(A587,收盤價!A:C,3,0)</f>
        <v>14.4</v>
      </c>
      <c r="E587" s="188">
        <v>0.3980582524271844</v>
      </c>
      <c r="F587">
        <v>83.96</v>
      </c>
    </row>
    <row r="588" spans="1:6">
      <c r="A588">
        <v>3038</v>
      </c>
      <c r="B588" t="s">
        <v>1081</v>
      </c>
      <c r="C588">
        <v>5.83</v>
      </c>
      <c r="D588">
        <f>VLOOKUP(A588,收盤價!A:C,3,0)</f>
        <v>9.35</v>
      </c>
      <c r="E588" s="188">
        <v>0.60377358490566024</v>
      </c>
      <c r="F588">
        <v>94.19</v>
      </c>
    </row>
    <row r="589" spans="1:6">
      <c r="A589">
        <v>3040</v>
      </c>
      <c r="B589" t="s">
        <v>1082</v>
      </c>
      <c r="C589">
        <v>34.450000000000003</v>
      </c>
      <c r="D589">
        <f>VLOOKUP(A589,收盤價!A:C,3,0)</f>
        <v>35.200000000000003</v>
      </c>
      <c r="E589" s="188">
        <v>2.1770682148040638E-2</v>
      </c>
      <c r="F589">
        <v>15.03</v>
      </c>
    </row>
    <row r="590" spans="1:6">
      <c r="A590">
        <v>3041</v>
      </c>
      <c r="B590" t="s">
        <v>1083</v>
      </c>
      <c r="C590">
        <v>11.4</v>
      </c>
      <c r="D590">
        <f>VLOOKUP(A590,收盤價!A:C,3,0)</f>
        <v>16.100000000000001</v>
      </c>
      <c r="E590" s="188">
        <v>0.41228070175438603</v>
      </c>
      <c r="F590">
        <v>85.16</v>
      </c>
    </row>
    <row r="591" spans="1:6">
      <c r="A591">
        <v>3042</v>
      </c>
      <c r="B591" t="s">
        <v>1084</v>
      </c>
      <c r="C591">
        <v>30</v>
      </c>
      <c r="D591">
        <f>VLOOKUP(A591,收盤價!A:C,3,0)</f>
        <v>35.25</v>
      </c>
      <c r="E591" s="188">
        <v>0.17499999999999999</v>
      </c>
      <c r="F591">
        <v>47.1</v>
      </c>
    </row>
    <row r="592" spans="1:6">
      <c r="A592">
        <v>3043</v>
      </c>
      <c r="B592" t="s">
        <v>1085</v>
      </c>
      <c r="C592">
        <v>2.2999999999999998</v>
      </c>
      <c r="D592">
        <f>VLOOKUP(A592,收盤價!A:C,3,0)</f>
        <v>3</v>
      </c>
      <c r="E592" s="188">
        <v>0.3043478260869566</v>
      </c>
      <c r="F592">
        <v>72.47</v>
      </c>
    </row>
    <row r="593" spans="1:6">
      <c r="A593">
        <v>3044</v>
      </c>
      <c r="B593" t="s">
        <v>1086</v>
      </c>
      <c r="C593">
        <v>41.5</v>
      </c>
      <c r="D593">
        <f>VLOOKUP(A593,收盤價!A:C,3,0)</f>
        <v>54.6</v>
      </c>
      <c r="E593" s="188">
        <v>0.31566265060240967</v>
      </c>
      <c r="F593">
        <v>74.37</v>
      </c>
    </row>
    <row r="594" spans="1:6">
      <c r="A594">
        <v>3045</v>
      </c>
      <c r="B594" t="s">
        <v>1087</v>
      </c>
      <c r="C594">
        <v>97.4</v>
      </c>
      <c r="D594">
        <f>VLOOKUP(A594,收盤價!A:C,3,0)</f>
        <v>100.5</v>
      </c>
      <c r="E594" s="188">
        <v>3.1827515400410615E-2</v>
      </c>
      <c r="F594">
        <v>16.41</v>
      </c>
    </row>
    <row r="595" spans="1:6">
      <c r="A595">
        <v>3046</v>
      </c>
      <c r="B595" t="s">
        <v>1088</v>
      </c>
      <c r="C595">
        <v>9.82</v>
      </c>
      <c r="D595">
        <f>VLOOKUP(A595,收盤價!A:C,3,0)</f>
        <v>10.35</v>
      </c>
      <c r="E595" s="188">
        <v>5.3971486761710728E-2</v>
      </c>
      <c r="F595">
        <v>19.760000000000002</v>
      </c>
    </row>
    <row r="596" spans="1:6">
      <c r="A596">
        <v>3047</v>
      </c>
      <c r="B596" t="s">
        <v>1089</v>
      </c>
      <c r="C596">
        <v>6.97</v>
      </c>
      <c r="D596">
        <f>VLOOKUP(A596,收盤價!A:C,3,0)</f>
        <v>10.65</v>
      </c>
      <c r="E596" s="188">
        <v>0.52797704447632721</v>
      </c>
      <c r="F596">
        <v>91.98</v>
      </c>
    </row>
    <row r="597" spans="1:6">
      <c r="A597">
        <v>3048</v>
      </c>
      <c r="B597" t="s">
        <v>1090</v>
      </c>
      <c r="C597">
        <v>14.85</v>
      </c>
      <c r="D597">
        <f>VLOOKUP(A597,收盤價!A:C,3,0)</f>
        <v>19.75</v>
      </c>
      <c r="E597" s="188">
        <v>0.32996632996633002</v>
      </c>
      <c r="F597">
        <v>76.2</v>
      </c>
    </row>
    <row r="598" spans="1:6">
      <c r="A598">
        <v>3049</v>
      </c>
      <c r="B598" t="s">
        <v>1091</v>
      </c>
      <c r="C598">
        <v>2.63</v>
      </c>
      <c r="D598">
        <f>VLOOKUP(A598,收盤價!A:C,3,0)</f>
        <v>5.74</v>
      </c>
      <c r="E598" s="188">
        <v>1.1825095057034223</v>
      </c>
      <c r="F598">
        <v>99.18</v>
      </c>
    </row>
    <row r="599" spans="1:6">
      <c r="A599">
        <v>3050</v>
      </c>
      <c r="B599" t="s">
        <v>1092</v>
      </c>
      <c r="C599">
        <v>6.92</v>
      </c>
      <c r="D599">
        <f>VLOOKUP(A599,收盤價!A:C,3,0)</f>
        <v>8.19</v>
      </c>
      <c r="E599" s="188">
        <v>0.18352601156069359</v>
      </c>
      <c r="F599">
        <v>49.18</v>
      </c>
    </row>
    <row r="600" spans="1:6">
      <c r="A600">
        <v>3051</v>
      </c>
      <c r="B600" t="s">
        <v>1093</v>
      </c>
      <c r="C600">
        <v>4.8</v>
      </c>
      <c r="D600">
        <f>VLOOKUP(A600,收盤價!A:C,3,0)</f>
        <v>7.48</v>
      </c>
      <c r="E600" s="188">
        <v>0.55833333333333346</v>
      </c>
      <c r="F600">
        <v>92.93</v>
      </c>
    </row>
    <row r="601" spans="1:6">
      <c r="A601">
        <v>3052</v>
      </c>
      <c r="B601" t="s">
        <v>1094</v>
      </c>
      <c r="C601">
        <v>10.1</v>
      </c>
      <c r="D601">
        <f>VLOOKUP(A601,收盤價!A:C,3,0)</f>
        <v>9.41</v>
      </c>
      <c r="E601" s="188">
        <v>-6.8316831683168266E-2</v>
      </c>
      <c r="F601">
        <v>6.88</v>
      </c>
    </row>
    <row r="602" spans="1:6">
      <c r="A602">
        <v>3054</v>
      </c>
      <c r="B602" t="s">
        <v>1095</v>
      </c>
      <c r="C602">
        <v>15.3</v>
      </c>
      <c r="D602">
        <f>VLOOKUP(A602,收盤價!A:C,3,0)</f>
        <v>17.95</v>
      </c>
      <c r="E602" s="188">
        <v>0.17320261437908488</v>
      </c>
      <c r="F602">
        <v>46.34</v>
      </c>
    </row>
    <row r="603" spans="1:6">
      <c r="A603">
        <v>3055</v>
      </c>
      <c r="B603" t="s">
        <v>1096</v>
      </c>
      <c r="C603">
        <v>10.199999999999999</v>
      </c>
      <c r="D603">
        <f>VLOOKUP(A603,收盤價!A:C,3,0)</f>
        <v>16.45</v>
      </c>
      <c r="E603" s="188">
        <v>0.61274509803921573</v>
      </c>
      <c r="F603">
        <v>94.51</v>
      </c>
    </row>
    <row r="604" spans="1:6">
      <c r="A604">
        <v>3056</v>
      </c>
      <c r="B604" t="s">
        <v>1097</v>
      </c>
      <c r="C604">
        <v>15</v>
      </c>
      <c r="D604">
        <f>VLOOKUP(A604,收盤價!A:C,3,0)</f>
        <v>13.2</v>
      </c>
      <c r="E604" s="188">
        <v>-0.12000000000000005</v>
      </c>
      <c r="F604">
        <v>4.67</v>
      </c>
    </row>
    <row r="605" spans="1:6">
      <c r="A605">
        <v>3057</v>
      </c>
      <c r="B605" t="s">
        <v>1098</v>
      </c>
      <c r="C605">
        <v>12.9</v>
      </c>
      <c r="D605">
        <f>VLOOKUP(A605,收盤價!A:C,3,0)</f>
        <v>17.8</v>
      </c>
      <c r="E605" s="188">
        <v>0.37984496124031009</v>
      </c>
      <c r="F605">
        <v>82.58</v>
      </c>
    </row>
    <row r="606" spans="1:6">
      <c r="A606">
        <v>3058</v>
      </c>
      <c r="B606" t="s">
        <v>1099</v>
      </c>
      <c r="C606">
        <v>7.2</v>
      </c>
      <c r="D606">
        <f>VLOOKUP(A606,收盤價!A:C,3,0)</f>
        <v>9.2200000000000006</v>
      </c>
      <c r="E606" s="188">
        <v>0.28055555555555561</v>
      </c>
      <c r="F606">
        <v>68.69</v>
      </c>
    </row>
    <row r="607" spans="1:6">
      <c r="A607">
        <v>3059</v>
      </c>
      <c r="B607" t="s">
        <v>1100</v>
      </c>
      <c r="C607">
        <v>20.45</v>
      </c>
      <c r="D607">
        <f>VLOOKUP(A607,收盤價!A:C,3,0)</f>
        <v>27.2</v>
      </c>
      <c r="E607" s="188">
        <v>0.33007334963325186</v>
      </c>
      <c r="F607">
        <v>76.260000000000005</v>
      </c>
    </row>
    <row r="608" spans="1:6">
      <c r="A608">
        <v>3060</v>
      </c>
      <c r="B608" t="s">
        <v>1101</v>
      </c>
      <c r="C608">
        <v>44.55</v>
      </c>
      <c r="D608">
        <f>VLOOKUP(A608,收盤價!A:C,3,0)</f>
        <v>58.2</v>
      </c>
      <c r="E608" s="188">
        <v>0.30639730639730656</v>
      </c>
      <c r="F608">
        <v>72.73</v>
      </c>
    </row>
    <row r="609" spans="1:6">
      <c r="A609">
        <v>3062</v>
      </c>
      <c r="B609" t="s">
        <v>1102</v>
      </c>
      <c r="C609">
        <v>12.6</v>
      </c>
      <c r="D609">
        <f>VLOOKUP(A609,收盤價!A:C,3,0)</f>
        <v>16.149999999999999</v>
      </c>
      <c r="E609" s="188">
        <v>0.28174603174603169</v>
      </c>
      <c r="F609">
        <v>69.069999999999993</v>
      </c>
    </row>
    <row r="610" spans="1:6">
      <c r="A610">
        <v>3064</v>
      </c>
      <c r="B610" t="s">
        <v>1471</v>
      </c>
      <c r="C610">
        <v>15.35</v>
      </c>
      <c r="D610">
        <f>VLOOKUP(A610,收盤價!A:C,3,0)</f>
        <v>20.75</v>
      </c>
      <c r="E610" s="188">
        <v>0.35179153094462545</v>
      </c>
      <c r="F610">
        <v>79.099999999999994</v>
      </c>
    </row>
    <row r="611" spans="1:6">
      <c r="A611">
        <v>3066</v>
      </c>
      <c r="B611" t="s">
        <v>1472</v>
      </c>
      <c r="C611">
        <v>7.43</v>
      </c>
      <c r="D611">
        <f>VLOOKUP(A611,收盤價!A:C,3,0)</f>
        <v>7.84</v>
      </c>
      <c r="E611" s="188">
        <v>5.518169582772546E-2</v>
      </c>
      <c r="F611">
        <v>20.14</v>
      </c>
    </row>
    <row r="612" spans="1:6">
      <c r="A612">
        <v>3067</v>
      </c>
      <c r="B612" t="s">
        <v>287</v>
      </c>
      <c r="C612">
        <v>15.5</v>
      </c>
      <c r="D612">
        <f>VLOOKUP(A612,收盤價!A:C,3,0)</f>
        <v>14.9</v>
      </c>
      <c r="E612" s="188">
        <v>-3.8709677419354813E-2</v>
      </c>
      <c r="F612">
        <v>8.59</v>
      </c>
    </row>
    <row r="613" spans="1:6">
      <c r="A613">
        <v>3068</v>
      </c>
      <c r="B613" t="s">
        <v>288</v>
      </c>
      <c r="C613">
        <v>25.95</v>
      </c>
      <c r="D613">
        <f>VLOOKUP(A613,收盤價!A:C,3,0)</f>
        <v>32.549999999999997</v>
      </c>
      <c r="E613" s="188">
        <v>0.25433526011560686</v>
      </c>
      <c r="F613">
        <v>63.83</v>
      </c>
    </row>
    <row r="614" spans="1:6">
      <c r="A614">
        <v>3071</v>
      </c>
      <c r="B614" t="s">
        <v>1473</v>
      </c>
      <c r="C614">
        <v>5.92</v>
      </c>
      <c r="D614">
        <f>VLOOKUP(A614,收盤價!A:C,3,0)</f>
        <v>6.52</v>
      </c>
      <c r="E614" s="188">
        <v>0.10135135135135129</v>
      </c>
      <c r="F614">
        <v>29.73</v>
      </c>
    </row>
    <row r="615" spans="1:6">
      <c r="A615">
        <v>3073</v>
      </c>
      <c r="B615" t="s">
        <v>1474</v>
      </c>
      <c r="C615">
        <v>5.69</v>
      </c>
      <c r="D615">
        <f>VLOOKUP(A615,收盤價!A:C,3,0)</f>
        <v>5.73</v>
      </c>
      <c r="E615" s="188">
        <v>7.0298769771529055E-3</v>
      </c>
      <c r="F615">
        <v>13.32</v>
      </c>
    </row>
    <row r="616" spans="1:6">
      <c r="A616">
        <v>3078</v>
      </c>
      <c r="B616" t="s">
        <v>1475</v>
      </c>
      <c r="C616">
        <v>11.85</v>
      </c>
      <c r="D616">
        <f>VLOOKUP(A616,收盤價!A:C,3,0)</f>
        <v>17.850000000000001</v>
      </c>
      <c r="E616" s="188">
        <v>0.50632911392405078</v>
      </c>
      <c r="F616">
        <v>91.16</v>
      </c>
    </row>
    <row r="617" spans="1:6">
      <c r="A617">
        <v>3081</v>
      </c>
      <c r="B617" t="s">
        <v>1476</v>
      </c>
      <c r="C617">
        <v>362</v>
      </c>
      <c r="D617">
        <f>VLOOKUP(A617,收盤價!A:C,3,0)</f>
        <v>423.5</v>
      </c>
      <c r="E617" s="188">
        <v>0.16988950276243095</v>
      </c>
      <c r="F617">
        <v>45.33</v>
      </c>
    </row>
    <row r="618" spans="1:6">
      <c r="A618">
        <v>3083</v>
      </c>
      <c r="B618" t="s">
        <v>1477</v>
      </c>
      <c r="C618">
        <v>21</v>
      </c>
      <c r="D618">
        <f>VLOOKUP(A618,收盤價!A:C,3,0)</f>
        <v>39.549999999999997</v>
      </c>
      <c r="E618" s="188">
        <v>0.88333333333333319</v>
      </c>
      <c r="F618">
        <v>98.3</v>
      </c>
    </row>
    <row r="619" spans="1:6">
      <c r="A619">
        <v>3085</v>
      </c>
      <c r="B619" t="s">
        <v>289</v>
      </c>
      <c r="C619">
        <v>5.86</v>
      </c>
      <c r="D619">
        <f>VLOOKUP(A619,收盤價!A:C,3,0)</f>
        <v>7.21</v>
      </c>
      <c r="E619" s="188">
        <v>0.23037542662116034</v>
      </c>
      <c r="F619">
        <v>59.6</v>
      </c>
    </row>
    <row r="620" spans="1:6">
      <c r="A620">
        <v>3086</v>
      </c>
      <c r="B620" t="s">
        <v>1478</v>
      </c>
      <c r="C620">
        <v>7.76</v>
      </c>
      <c r="D620">
        <f>VLOOKUP(A620,收盤價!A:C,3,0)</f>
        <v>12.3</v>
      </c>
      <c r="E620" s="188">
        <v>0.58505154639175272</v>
      </c>
      <c r="F620">
        <v>93.5</v>
      </c>
    </row>
    <row r="621" spans="1:6">
      <c r="A621">
        <v>3088</v>
      </c>
      <c r="B621" t="s">
        <v>290</v>
      </c>
      <c r="C621">
        <v>51.6</v>
      </c>
      <c r="D621">
        <f>VLOOKUP(A621,收盤價!A:C,3,0)</f>
        <v>69.2</v>
      </c>
      <c r="E621" s="188">
        <v>0.34108527131782945</v>
      </c>
      <c r="F621">
        <v>77.78</v>
      </c>
    </row>
    <row r="622" spans="1:6">
      <c r="A622">
        <v>3089</v>
      </c>
      <c r="B622" t="s">
        <v>291</v>
      </c>
      <c r="C622">
        <v>22.95</v>
      </c>
      <c r="D622">
        <f>VLOOKUP(A622,收盤價!A:C,3,0)</f>
        <v>21.7</v>
      </c>
      <c r="E622" s="188">
        <v>-5.4466230936819175E-2</v>
      </c>
      <c r="F622">
        <v>7.58</v>
      </c>
    </row>
    <row r="623" spans="1:6">
      <c r="A623">
        <v>3090</v>
      </c>
      <c r="B623" t="s">
        <v>1103</v>
      </c>
      <c r="C623">
        <v>17.55</v>
      </c>
      <c r="D623">
        <f>VLOOKUP(A623,收盤價!A:C,3,0)</f>
        <v>23.35</v>
      </c>
      <c r="E623" s="188">
        <v>0.33048433048433051</v>
      </c>
      <c r="F623">
        <v>76.39</v>
      </c>
    </row>
    <row r="624" spans="1:6">
      <c r="A624">
        <v>3092</v>
      </c>
      <c r="B624" t="s">
        <v>292</v>
      </c>
      <c r="C624">
        <v>9.3000000000000007</v>
      </c>
      <c r="D624">
        <f>VLOOKUP(A624,收盤價!A:C,3,0)</f>
        <v>15</v>
      </c>
      <c r="E624" s="188">
        <v>0.61290322580645151</v>
      </c>
      <c r="F624">
        <v>94.57</v>
      </c>
    </row>
    <row r="625" spans="1:6">
      <c r="A625">
        <v>3093</v>
      </c>
      <c r="B625" t="s">
        <v>293</v>
      </c>
      <c r="C625">
        <v>24.9</v>
      </c>
      <c r="D625">
        <f>VLOOKUP(A625,收盤價!A:C,3,0)</f>
        <v>28.25</v>
      </c>
      <c r="E625" s="188">
        <v>0.13453815261044183</v>
      </c>
      <c r="F625">
        <v>37.69</v>
      </c>
    </row>
    <row r="626" spans="1:6">
      <c r="A626">
        <v>3094</v>
      </c>
      <c r="B626" t="s">
        <v>1104</v>
      </c>
      <c r="C626">
        <v>16.850000000000001</v>
      </c>
      <c r="D626">
        <f>VLOOKUP(A626,收盤價!A:C,3,0)</f>
        <v>27.8</v>
      </c>
      <c r="E626" s="188">
        <v>0.64985163204747765</v>
      </c>
      <c r="F626">
        <v>95.71</v>
      </c>
    </row>
    <row r="627" spans="1:6">
      <c r="A627">
        <v>3095</v>
      </c>
      <c r="B627" t="s">
        <v>294</v>
      </c>
      <c r="C627">
        <v>7.94</v>
      </c>
      <c r="D627">
        <f>VLOOKUP(A627,收盤價!A:C,3,0)</f>
        <v>6.87</v>
      </c>
      <c r="E627" s="188">
        <v>-0.13476070528967257</v>
      </c>
      <c r="F627">
        <v>4.4800000000000004</v>
      </c>
    </row>
    <row r="628" spans="1:6">
      <c r="A628">
        <v>3105</v>
      </c>
      <c r="C628">
        <v>31.35</v>
      </c>
      <c r="D628">
        <f>VLOOKUP(A628,收盤價!A:C,3,0)</f>
        <v>45.45</v>
      </c>
      <c r="E628" s="188">
        <f>(D628-C628)/C628</f>
        <v>0.44976076555023925</v>
      </c>
    </row>
    <row r="629" spans="1:6">
      <c r="A629">
        <v>3114</v>
      </c>
      <c r="B629" t="s">
        <v>1479</v>
      </c>
      <c r="C629">
        <v>9.91</v>
      </c>
      <c r="D629">
        <f>VLOOKUP(A629,收盤價!A:C,3,0)</f>
        <v>14.75</v>
      </c>
      <c r="E629" s="188">
        <v>0.48839556004036327</v>
      </c>
      <c r="F629">
        <v>90.15</v>
      </c>
    </row>
    <row r="630" spans="1:6">
      <c r="A630">
        <v>3115</v>
      </c>
      <c r="B630" t="s">
        <v>1480</v>
      </c>
      <c r="C630">
        <v>0</v>
      </c>
      <c r="D630">
        <f>VLOOKUP(A630,收盤價!A:C,3,0)</f>
        <v>9.74</v>
      </c>
      <c r="E630" s="188">
        <v>0</v>
      </c>
      <c r="F630">
        <v>1.1399999999999999</v>
      </c>
    </row>
    <row r="631" spans="1:6">
      <c r="A631">
        <v>3118</v>
      </c>
      <c r="B631" t="s">
        <v>1481</v>
      </c>
      <c r="C631">
        <v>30</v>
      </c>
      <c r="D631">
        <f>VLOOKUP(A631,收盤價!A:C,3,0)</f>
        <v>38</v>
      </c>
      <c r="E631" s="188">
        <v>0.26666666666666666</v>
      </c>
      <c r="F631">
        <v>66.16</v>
      </c>
    </row>
    <row r="632" spans="1:6">
      <c r="A632">
        <v>3122</v>
      </c>
      <c r="B632" t="s">
        <v>1482</v>
      </c>
      <c r="C632">
        <v>12.6</v>
      </c>
      <c r="D632">
        <f>VLOOKUP(A632,收盤價!A:C,3,0)</f>
        <v>15.8</v>
      </c>
      <c r="E632" s="188">
        <v>0.25396825396825407</v>
      </c>
      <c r="F632">
        <v>63.7</v>
      </c>
    </row>
    <row r="633" spans="1:6">
      <c r="A633">
        <v>3128</v>
      </c>
      <c r="B633" t="s">
        <v>1483</v>
      </c>
      <c r="C633">
        <v>13.45</v>
      </c>
      <c r="D633">
        <f>VLOOKUP(A633,收盤價!A:C,3,0)</f>
        <v>12.7</v>
      </c>
      <c r="E633" s="188">
        <v>-5.5762081784386623E-2</v>
      </c>
      <c r="F633">
        <v>7.39</v>
      </c>
    </row>
    <row r="634" spans="1:6">
      <c r="A634">
        <v>3130</v>
      </c>
      <c r="B634" t="s">
        <v>1105</v>
      </c>
      <c r="C634">
        <v>132</v>
      </c>
      <c r="D634">
        <f>VLOOKUP(A634,收盤價!A:C,3,0)</f>
        <v>143</v>
      </c>
      <c r="E634" s="188">
        <v>8.3333333333333329E-2</v>
      </c>
      <c r="F634">
        <v>25.69</v>
      </c>
    </row>
    <row r="635" spans="1:6">
      <c r="A635">
        <v>3131</v>
      </c>
      <c r="B635" t="s">
        <v>1484</v>
      </c>
      <c r="C635">
        <v>147</v>
      </c>
      <c r="D635">
        <f>VLOOKUP(A635,收盤價!A:C,3,0)</f>
        <v>168</v>
      </c>
      <c r="E635" s="188">
        <v>0.14285714285714285</v>
      </c>
      <c r="F635">
        <v>39.200000000000003</v>
      </c>
    </row>
    <row r="636" spans="1:6">
      <c r="A636">
        <v>3141</v>
      </c>
      <c r="B636" t="s">
        <v>296</v>
      </c>
      <c r="C636">
        <v>15.55</v>
      </c>
      <c r="D636">
        <f>VLOOKUP(A636,收盤價!A:C,3,0)</f>
        <v>18.3</v>
      </c>
      <c r="E636" s="188">
        <v>0.17684887459807072</v>
      </c>
      <c r="F636">
        <v>47.29</v>
      </c>
    </row>
    <row r="637" spans="1:6">
      <c r="A637">
        <v>3144</v>
      </c>
      <c r="B637" t="s">
        <v>297</v>
      </c>
      <c r="C637">
        <v>13.95</v>
      </c>
      <c r="D637">
        <f>VLOOKUP(A637,收盤價!A:C,3,0)</f>
        <v>16.5</v>
      </c>
      <c r="E637" s="188">
        <v>0.18279569892473124</v>
      </c>
      <c r="F637">
        <v>48.8</v>
      </c>
    </row>
    <row r="638" spans="1:6">
      <c r="A638">
        <v>3149</v>
      </c>
      <c r="B638" t="s">
        <v>1106</v>
      </c>
      <c r="C638">
        <v>9.56</v>
      </c>
      <c r="D638">
        <f>VLOOKUP(A638,收盤價!A:C,3,0)</f>
        <v>13.5</v>
      </c>
      <c r="E638" s="188">
        <v>0.41213389121338906</v>
      </c>
      <c r="F638">
        <v>85.04</v>
      </c>
    </row>
    <row r="639" spans="1:6">
      <c r="A639">
        <v>3152</v>
      </c>
      <c r="B639" t="s">
        <v>1485</v>
      </c>
      <c r="C639">
        <v>172</v>
      </c>
      <c r="D639">
        <f>VLOOKUP(A639,收盤價!A:C,3,0)</f>
        <v>203.5</v>
      </c>
      <c r="E639" s="188">
        <v>0.18313953488372092</v>
      </c>
      <c r="F639">
        <v>48.93</v>
      </c>
    </row>
    <row r="640" spans="1:6">
      <c r="A640">
        <v>3162</v>
      </c>
      <c r="B640" t="s">
        <v>1486</v>
      </c>
      <c r="C640">
        <v>6.14</v>
      </c>
      <c r="D640">
        <f>VLOOKUP(A640,收盤價!A:C,3,0)</f>
        <v>5.99</v>
      </c>
      <c r="E640" s="188">
        <v>-2.4429967426710011E-2</v>
      </c>
      <c r="F640">
        <v>9.7200000000000006</v>
      </c>
    </row>
    <row r="641" spans="1:6">
      <c r="A641">
        <v>3163</v>
      </c>
      <c r="B641" t="s">
        <v>298</v>
      </c>
      <c r="C641">
        <v>27.1</v>
      </c>
      <c r="D641">
        <f>VLOOKUP(A641,收盤價!A:C,3,0)</f>
        <v>36.1</v>
      </c>
      <c r="E641" s="188">
        <v>0.33210332103321033</v>
      </c>
      <c r="F641">
        <v>76.64</v>
      </c>
    </row>
    <row r="642" spans="1:6">
      <c r="A642">
        <v>3164</v>
      </c>
      <c r="B642" t="s">
        <v>1107</v>
      </c>
      <c r="C642">
        <v>18.5</v>
      </c>
      <c r="D642">
        <f>VLOOKUP(A642,收盤價!A:C,3,0)</f>
        <v>30.55</v>
      </c>
      <c r="E642" s="188">
        <v>0.65135135135135136</v>
      </c>
      <c r="F642">
        <v>95.83</v>
      </c>
    </row>
    <row r="643" spans="1:6">
      <c r="A643">
        <v>3167</v>
      </c>
      <c r="B643" t="s">
        <v>1108</v>
      </c>
      <c r="C643">
        <v>24.9</v>
      </c>
      <c r="D643">
        <f>VLOOKUP(A643,收盤價!A:C,3,0)</f>
        <v>26.1</v>
      </c>
      <c r="E643" s="188">
        <v>4.8192771084337463E-2</v>
      </c>
      <c r="F643">
        <v>18.75</v>
      </c>
    </row>
    <row r="644" spans="1:6">
      <c r="A644">
        <v>3169</v>
      </c>
      <c r="B644" t="s">
        <v>1487</v>
      </c>
      <c r="C644">
        <v>21</v>
      </c>
      <c r="D644">
        <f>VLOOKUP(A644,收盤價!A:C,3,0)</f>
        <v>30.7</v>
      </c>
      <c r="E644" s="188">
        <v>0.46190476190476187</v>
      </c>
      <c r="F644">
        <v>88.95</v>
      </c>
    </row>
    <row r="645" spans="1:6">
      <c r="A645">
        <v>3171</v>
      </c>
      <c r="B645" t="s">
        <v>1488</v>
      </c>
      <c r="C645">
        <v>17</v>
      </c>
      <c r="D645">
        <f>VLOOKUP(A645,收盤價!A:C,3,0)</f>
        <v>19.2</v>
      </c>
      <c r="E645" s="188">
        <v>0.12941176470588231</v>
      </c>
      <c r="F645">
        <v>36.619999999999997</v>
      </c>
    </row>
    <row r="646" spans="1:6">
      <c r="A646">
        <v>3176</v>
      </c>
      <c r="B646" t="s">
        <v>299</v>
      </c>
      <c r="C646">
        <v>77.900000000000006</v>
      </c>
      <c r="D646">
        <f>VLOOKUP(A646,收盤價!A:C,3,0)</f>
        <v>86.1</v>
      </c>
      <c r="E646" s="188">
        <v>0.10526315789473668</v>
      </c>
      <c r="F646">
        <v>30.43</v>
      </c>
    </row>
    <row r="647" spans="1:6">
      <c r="A647">
        <v>3188</v>
      </c>
      <c r="B647" t="s">
        <v>300</v>
      </c>
      <c r="C647">
        <v>8.1999999999999993</v>
      </c>
      <c r="D647">
        <f>VLOOKUP(A647,收盤價!A:C,3,0)</f>
        <v>9.99</v>
      </c>
      <c r="E647" s="188">
        <v>0.21829268292682941</v>
      </c>
      <c r="F647">
        <v>57.32</v>
      </c>
    </row>
    <row r="648" spans="1:6">
      <c r="A648">
        <v>3189</v>
      </c>
      <c r="B648" t="s">
        <v>1109</v>
      </c>
      <c r="C648">
        <v>51.2</v>
      </c>
      <c r="D648">
        <f>VLOOKUP(A648,收盤價!A:C,3,0)</f>
        <v>64.5</v>
      </c>
      <c r="E648" s="188">
        <v>0.25976562499999994</v>
      </c>
      <c r="F648">
        <v>65.09</v>
      </c>
    </row>
    <row r="649" spans="1:6">
      <c r="A649">
        <v>3191</v>
      </c>
      <c r="B649" t="s">
        <v>1489</v>
      </c>
      <c r="C649">
        <v>15</v>
      </c>
      <c r="D649">
        <f>VLOOKUP(A649,收盤價!A:C,3,0)</f>
        <v>17.2</v>
      </c>
      <c r="E649" s="188">
        <v>0.14666666666666661</v>
      </c>
      <c r="F649">
        <v>40.28</v>
      </c>
    </row>
    <row r="650" spans="1:6">
      <c r="A650">
        <v>3202</v>
      </c>
      <c r="B650" t="s">
        <v>1490</v>
      </c>
      <c r="C650">
        <v>4.47</v>
      </c>
      <c r="D650">
        <f>VLOOKUP(A650,收盤價!A:C,3,0)</f>
        <v>6.38</v>
      </c>
      <c r="E650" s="188">
        <v>0.42729306487695756</v>
      </c>
      <c r="F650">
        <v>86.24</v>
      </c>
    </row>
    <row r="651" spans="1:6">
      <c r="A651">
        <v>3205</v>
      </c>
      <c r="B651" t="s">
        <v>301</v>
      </c>
      <c r="C651">
        <v>96.3</v>
      </c>
      <c r="D651">
        <f>VLOOKUP(A651,收盤價!A:C,3,0)</f>
        <v>290</v>
      </c>
      <c r="E651" s="188">
        <v>2.0114226375908619</v>
      </c>
      <c r="F651">
        <v>99.81</v>
      </c>
    </row>
    <row r="652" spans="1:6">
      <c r="A652">
        <v>3206</v>
      </c>
      <c r="B652" t="s">
        <v>1491</v>
      </c>
      <c r="C652">
        <v>18.3</v>
      </c>
      <c r="D652">
        <f>VLOOKUP(A652,收盤價!A:C,3,0)</f>
        <v>22.8</v>
      </c>
      <c r="E652" s="188">
        <v>0.24590163934426229</v>
      </c>
      <c r="F652">
        <v>62.5</v>
      </c>
    </row>
    <row r="653" spans="1:6">
      <c r="A653">
        <v>3207</v>
      </c>
      <c r="B653" t="s">
        <v>302</v>
      </c>
      <c r="C653">
        <v>7.98</v>
      </c>
      <c r="D653">
        <f>VLOOKUP(A653,收盤價!A:C,3,0)</f>
        <v>8.76</v>
      </c>
      <c r="E653" s="188">
        <v>9.774436090225555E-2</v>
      </c>
      <c r="F653">
        <v>29.04</v>
      </c>
    </row>
    <row r="654" spans="1:6">
      <c r="A654">
        <v>3209</v>
      </c>
      <c r="B654" t="s">
        <v>1110</v>
      </c>
      <c r="C654">
        <v>18.7</v>
      </c>
      <c r="D654">
        <f>VLOOKUP(A654,收盤價!A:C,3,0)</f>
        <v>25</v>
      </c>
      <c r="E654" s="188">
        <v>0.3368983957219252</v>
      </c>
      <c r="F654">
        <v>77.34</v>
      </c>
    </row>
    <row r="655" spans="1:6">
      <c r="A655">
        <v>3211</v>
      </c>
      <c r="B655" t="s">
        <v>1492</v>
      </c>
      <c r="C655">
        <v>45.3</v>
      </c>
      <c r="D655">
        <f>VLOOKUP(A655,收盤價!A:C,3,0)</f>
        <v>52</v>
      </c>
      <c r="E655" s="188">
        <v>0.14790286975717445</v>
      </c>
      <c r="F655">
        <v>40.53</v>
      </c>
    </row>
    <row r="656" spans="1:6">
      <c r="A656">
        <v>3213</v>
      </c>
      <c r="B656" t="s">
        <v>1493</v>
      </c>
      <c r="C656">
        <v>34.299999999999997</v>
      </c>
      <c r="D656">
        <f>VLOOKUP(A656,收盤價!A:C,3,0)</f>
        <v>39.75</v>
      </c>
      <c r="E656" s="188">
        <v>0.15889212827988347</v>
      </c>
      <c r="F656">
        <v>43.37</v>
      </c>
    </row>
    <row r="657" spans="1:6">
      <c r="A657">
        <v>3217</v>
      </c>
      <c r="B657" t="s">
        <v>1494</v>
      </c>
      <c r="C657">
        <v>10.25</v>
      </c>
      <c r="D657">
        <f>VLOOKUP(A657,收盤價!A:C,3,0)</f>
        <v>12.75</v>
      </c>
      <c r="E657" s="188">
        <v>0.24390243902439024</v>
      </c>
      <c r="F657">
        <v>62.12</v>
      </c>
    </row>
    <row r="658" spans="1:6">
      <c r="A658">
        <v>3218</v>
      </c>
      <c r="B658" t="s">
        <v>303</v>
      </c>
      <c r="C658">
        <v>19.350000000000001</v>
      </c>
      <c r="D658">
        <f>VLOOKUP(A658,收盤價!A:C,3,0)</f>
        <v>24.5</v>
      </c>
      <c r="E658" s="188">
        <v>0.26614987080103347</v>
      </c>
      <c r="F658">
        <v>65.91</v>
      </c>
    </row>
    <row r="659" spans="1:6">
      <c r="A659">
        <v>3219</v>
      </c>
      <c r="B659" t="s">
        <v>1495</v>
      </c>
      <c r="C659">
        <v>10.6</v>
      </c>
      <c r="D659">
        <f>VLOOKUP(A659,收盤價!A:C,3,0)</f>
        <v>10.3</v>
      </c>
      <c r="E659" s="188">
        <v>-2.830188679245273E-2</v>
      </c>
      <c r="F659">
        <v>9.41</v>
      </c>
    </row>
    <row r="660" spans="1:6">
      <c r="A660">
        <v>3221</v>
      </c>
      <c r="B660" t="s">
        <v>1496</v>
      </c>
      <c r="C660">
        <v>11.15</v>
      </c>
      <c r="D660">
        <f>VLOOKUP(A660,收盤價!A:C,3,0)</f>
        <v>17</v>
      </c>
      <c r="E660" s="188">
        <v>0.5246636771300448</v>
      </c>
      <c r="F660">
        <v>91.86</v>
      </c>
    </row>
    <row r="661" spans="1:6">
      <c r="A661">
        <v>3224</v>
      </c>
      <c r="B661" t="s">
        <v>1497</v>
      </c>
      <c r="C661">
        <v>24.85</v>
      </c>
      <c r="D661">
        <f>VLOOKUP(A661,收盤價!A:C,3,0)</f>
        <v>32.049999999999997</v>
      </c>
      <c r="E661" s="188">
        <v>0.28973843058350079</v>
      </c>
      <c r="F661">
        <v>70.010000000000005</v>
      </c>
    </row>
    <row r="662" spans="1:6">
      <c r="A662">
        <v>3226</v>
      </c>
      <c r="B662" t="s">
        <v>304</v>
      </c>
      <c r="C662">
        <v>47</v>
      </c>
      <c r="D662">
        <f>VLOOKUP(A662,收盤價!A:C,3,0)</f>
        <v>53.1</v>
      </c>
      <c r="E662" s="188">
        <v>0.12978723404255321</v>
      </c>
      <c r="F662">
        <v>36.81</v>
      </c>
    </row>
    <row r="663" spans="1:6">
      <c r="A663">
        <v>3227</v>
      </c>
      <c r="B663" t="s">
        <v>305</v>
      </c>
      <c r="C663">
        <v>48.55</v>
      </c>
      <c r="D663">
        <f>VLOOKUP(A663,收盤價!A:C,3,0)</f>
        <v>72.2</v>
      </c>
      <c r="E663" s="188">
        <v>0.48712667353244093</v>
      </c>
      <c r="F663">
        <v>90.09</v>
      </c>
    </row>
    <row r="664" spans="1:6">
      <c r="A664">
        <v>3228</v>
      </c>
      <c r="B664" t="s">
        <v>306</v>
      </c>
      <c r="C664">
        <v>19.95</v>
      </c>
      <c r="D664">
        <f>VLOOKUP(A664,收盤價!A:C,3,0)</f>
        <v>22.5</v>
      </c>
      <c r="E664" s="188">
        <v>0.1278195488721805</v>
      </c>
      <c r="F664">
        <v>36.299999999999997</v>
      </c>
    </row>
    <row r="665" spans="1:6">
      <c r="A665">
        <v>3229</v>
      </c>
      <c r="B665" t="s">
        <v>1111</v>
      </c>
      <c r="C665">
        <v>18.5</v>
      </c>
      <c r="D665">
        <f>VLOOKUP(A665,收盤價!A:C,3,0)</f>
        <v>18.8</v>
      </c>
      <c r="E665" s="188">
        <v>1.6216216216216255E-2</v>
      </c>
      <c r="F665">
        <v>14.39</v>
      </c>
    </row>
    <row r="666" spans="1:6">
      <c r="A666">
        <v>3230</v>
      </c>
      <c r="B666" t="s">
        <v>1498</v>
      </c>
      <c r="C666">
        <v>4.3600000000000003</v>
      </c>
      <c r="D666">
        <f>VLOOKUP(A666,收盤價!A:C,3,0)</f>
        <v>6.48</v>
      </c>
      <c r="E666" s="188">
        <v>0.48623853211009171</v>
      </c>
      <c r="F666">
        <v>90.03</v>
      </c>
    </row>
    <row r="667" spans="1:6">
      <c r="A667">
        <v>3231</v>
      </c>
      <c r="B667" t="s">
        <v>1112</v>
      </c>
      <c r="C667">
        <v>12.5</v>
      </c>
      <c r="D667">
        <f>VLOOKUP(A667,收盤價!A:C,3,0)</f>
        <v>15.55</v>
      </c>
      <c r="E667" s="188">
        <v>0.24400000000000005</v>
      </c>
      <c r="F667">
        <v>62.18</v>
      </c>
    </row>
    <row r="668" spans="1:6">
      <c r="A668">
        <v>3232</v>
      </c>
      <c r="B668" t="s">
        <v>307</v>
      </c>
      <c r="C668">
        <v>27.85</v>
      </c>
      <c r="D668">
        <f>VLOOKUP(A668,收盤價!A:C,3,0)</f>
        <v>30.6</v>
      </c>
      <c r="E668" s="188">
        <v>9.8743267504488322E-2</v>
      </c>
      <c r="F668">
        <v>29.36</v>
      </c>
    </row>
    <row r="669" spans="1:6">
      <c r="A669">
        <v>3234</v>
      </c>
      <c r="B669" t="s">
        <v>308</v>
      </c>
      <c r="C669">
        <v>60.5</v>
      </c>
      <c r="D669">
        <f>VLOOKUP(A669,收盤價!A:C,3,0)</f>
        <v>113</v>
      </c>
      <c r="E669" s="188">
        <v>0.86776859504132231</v>
      </c>
      <c r="F669">
        <v>98.23</v>
      </c>
    </row>
    <row r="670" spans="1:6">
      <c r="A670">
        <v>3236</v>
      </c>
      <c r="B670" t="s">
        <v>309</v>
      </c>
      <c r="C670">
        <v>8.2100000000000009</v>
      </c>
      <c r="D670">
        <f>VLOOKUP(A670,收盤價!A:C,3,0)</f>
        <v>13.55</v>
      </c>
      <c r="E670" s="188">
        <v>0.6504263093788063</v>
      </c>
      <c r="F670">
        <v>95.77</v>
      </c>
    </row>
    <row r="671" spans="1:6">
      <c r="A671">
        <v>3252</v>
      </c>
      <c r="B671" t="s">
        <v>310</v>
      </c>
      <c r="C671">
        <v>21.7</v>
      </c>
      <c r="D671">
        <f>VLOOKUP(A671,收盤價!A:C,3,0)</f>
        <v>20.5</v>
      </c>
      <c r="E671" s="188">
        <v>-5.5299539170506881E-2</v>
      </c>
      <c r="F671">
        <v>7.51</v>
      </c>
    </row>
    <row r="672" spans="1:6">
      <c r="A672">
        <v>3257</v>
      </c>
      <c r="B672" t="s">
        <v>1113</v>
      </c>
      <c r="C672">
        <v>33</v>
      </c>
      <c r="D672">
        <f>VLOOKUP(A672,收盤價!A:C,3,0)</f>
        <v>40.049999999999997</v>
      </c>
      <c r="E672" s="188">
        <v>0.21363636363636354</v>
      </c>
      <c r="F672">
        <v>56.31</v>
      </c>
    </row>
    <row r="673" spans="1:6">
      <c r="A673">
        <v>3259</v>
      </c>
      <c r="B673" t="s">
        <v>1499</v>
      </c>
      <c r="C673">
        <v>24.35</v>
      </c>
      <c r="D673">
        <f>VLOOKUP(A673,收盤價!A:C,3,0)</f>
        <v>27.85</v>
      </c>
      <c r="E673" s="188">
        <v>0.14373716632443531</v>
      </c>
      <c r="F673">
        <v>39.65</v>
      </c>
    </row>
    <row r="674" spans="1:6">
      <c r="A674">
        <v>3260</v>
      </c>
      <c r="B674" t="s">
        <v>1500</v>
      </c>
      <c r="C674">
        <v>24.9</v>
      </c>
      <c r="D674">
        <f>VLOOKUP(A674,收盤價!A:C,3,0)</f>
        <v>31.7</v>
      </c>
      <c r="E674" s="188">
        <v>0.27309236947791171</v>
      </c>
      <c r="F674">
        <v>67.17</v>
      </c>
    </row>
    <row r="675" spans="1:6">
      <c r="A675">
        <v>3264</v>
      </c>
      <c r="B675" t="s">
        <v>1501</v>
      </c>
      <c r="C675">
        <v>17.100000000000001</v>
      </c>
      <c r="D675">
        <f>VLOOKUP(A675,收盤價!A:C,3,0)</f>
        <v>23.3</v>
      </c>
      <c r="E675" s="188">
        <v>0.3625730994152046</v>
      </c>
      <c r="F675">
        <v>80.62</v>
      </c>
    </row>
    <row r="676" spans="1:6">
      <c r="A676">
        <v>3265</v>
      </c>
      <c r="B676" t="s">
        <v>311</v>
      </c>
      <c r="C676">
        <v>18.75</v>
      </c>
      <c r="D676">
        <f>VLOOKUP(A676,收盤價!A:C,3,0)</f>
        <v>25.2</v>
      </c>
      <c r="E676" s="188">
        <v>0.34399999999999997</v>
      </c>
      <c r="F676">
        <v>78.22</v>
      </c>
    </row>
    <row r="677" spans="1:6">
      <c r="A677">
        <v>3266</v>
      </c>
      <c r="B677" t="s">
        <v>1114</v>
      </c>
      <c r="C677">
        <v>12.55</v>
      </c>
      <c r="D677">
        <f>VLOOKUP(A677,收盤價!A:C,3,0)</f>
        <v>13</v>
      </c>
      <c r="E677" s="188">
        <v>3.5856573705179223E-2</v>
      </c>
      <c r="F677">
        <v>17.05</v>
      </c>
    </row>
    <row r="678" spans="1:6">
      <c r="A678">
        <v>3268</v>
      </c>
      <c r="B678" t="s">
        <v>312</v>
      </c>
      <c r="C678">
        <v>11.25</v>
      </c>
      <c r="D678">
        <f>VLOOKUP(A678,收盤價!A:C,3,0)</f>
        <v>14.95</v>
      </c>
      <c r="E678" s="188">
        <v>0.32888888888888884</v>
      </c>
      <c r="F678">
        <v>76.069999999999993</v>
      </c>
    </row>
    <row r="679" spans="1:6">
      <c r="A679">
        <v>3272</v>
      </c>
      <c r="B679" t="s">
        <v>313</v>
      </c>
      <c r="C679">
        <v>43.75</v>
      </c>
      <c r="D679">
        <f>VLOOKUP(A679,收盤價!A:C,3,0)</f>
        <v>63</v>
      </c>
      <c r="E679" s="188">
        <v>0.44</v>
      </c>
      <c r="F679">
        <v>87.37</v>
      </c>
    </row>
    <row r="680" spans="1:6">
      <c r="A680">
        <v>3276</v>
      </c>
      <c r="B680" t="s">
        <v>1502</v>
      </c>
      <c r="C680">
        <v>8.1</v>
      </c>
      <c r="D680">
        <f>VLOOKUP(A680,收盤價!A:C,3,0)</f>
        <v>9.7899999999999991</v>
      </c>
      <c r="E680" s="188">
        <v>0.20864197530864192</v>
      </c>
      <c r="F680">
        <v>54.86</v>
      </c>
    </row>
    <row r="681" spans="1:6">
      <c r="A681">
        <v>3284</v>
      </c>
      <c r="B681" t="s">
        <v>314</v>
      </c>
      <c r="C681">
        <v>8.7799999999999994</v>
      </c>
      <c r="D681">
        <f>VLOOKUP(A681,收盤價!A:C,3,0)</f>
        <v>9.86</v>
      </c>
      <c r="E681" s="188">
        <v>0.12300683371298407</v>
      </c>
      <c r="F681">
        <v>35.04</v>
      </c>
    </row>
    <row r="682" spans="1:6">
      <c r="A682">
        <v>3285</v>
      </c>
      <c r="B682" t="s">
        <v>315</v>
      </c>
      <c r="C682">
        <v>27.9</v>
      </c>
      <c r="D682">
        <f>VLOOKUP(A682,收盤價!A:C,3,0)</f>
        <v>32.200000000000003</v>
      </c>
      <c r="E682" s="188">
        <v>0.1541218637992833</v>
      </c>
      <c r="F682">
        <v>42.11</v>
      </c>
    </row>
    <row r="683" spans="1:6">
      <c r="A683">
        <v>3287</v>
      </c>
      <c r="B683" t="s">
        <v>1503</v>
      </c>
      <c r="C683">
        <v>6.54</v>
      </c>
      <c r="D683">
        <f>VLOOKUP(A683,收盤價!A:C,3,0)</f>
        <v>9.25</v>
      </c>
      <c r="E683" s="188">
        <v>0.41437308868501527</v>
      </c>
      <c r="F683">
        <v>85.35</v>
      </c>
    </row>
    <row r="684" spans="1:6">
      <c r="A684">
        <v>3288</v>
      </c>
      <c r="B684" t="s">
        <v>1504</v>
      </c>
      <c r="C684">
        <v>5.81</v>
      </c>
      <c r="D684">
        <f>VLOOKUP(A684,收盤價!A:C,3,0)</f>
        <v>7.85</v>
      </c>
      <c r="E684" s="188">
        <v>0.35111876075731502</v>
      </c>
      <c r="F684">
        <v>79.040000000000006</v>
      </c>
    </row>
    <row r="685" spans="1:6">
      <c r="A685">
        <v>3289</v>
      </c>
      <c r="B685" t="s">
        <v>1505</v>
      </c>
      <c r="C685">
        <v>67.7</v>
      </c>
      <c r="D685">
        <f>VLOOKUP(A685,收盤價!A:C,3,0)</f>
        <v>85.4</v>
      </c>
      <c r="E685" s="188">
        <v>0.26144756277695719</v>
      </c>
      <c r="F685">
        <v>65.34</v>
      </c>
    </row>
    <row r="686" spans="1:6">
      <c r="A686">
        <v>3290</v>
      </c>
      <c r="B686" t="s">
        <v>1506</v>
      </c>
      <c r="C686">
        <v>15.05</v>
      </c>
      <c r="D686">
        <f>VLOOKUP(A686,收盤價!A:C,3,0)</f>
        <v>15</v>
      </c>
      <c r="E686" s="188">
        <v>-3.3222591362126715E-3</v>
      </c>
      <c r="F686">
        <v>11.43</v>
      </c>
    </row>
    <row r="687" spans="1:6">
      <c r="A687">
        <v>3291</v>
      </c>
      <c r="B687" t="s">
        <v>316</v>
      </c>
      <c r="C687">
        <v>14.4</v>
      </c>
      <c r="D687">
        <f>VLOOKUP(A687,收盤價!A:C,3,0)</f>
        <v>17</v>
      </c>
      <c r="E687" s="188">
        <v>0.18055555555555552</v>
      </c>
      <c r="F687">
        <v>47.98</v>
      </c>
    </row>
    <row r="688" spans="1:6">
      <c r="A688">
        <v>3293</v>
      </c>
      <c r="B688" t="s">
        <v>1507</v>
      </c>
      <c r="C688">
        <v>61.2</v>
      </c>
      <c r="D688">
        <f>VLOOKUP(A688,收盤價!A:C,3,0)</f>
        <v>81.5</v>
      </c>
      <c r="E688" s="188">
        <v>0.33169934640522869</v>
      </c>
      <c r="F688">
        <v>76.52</v>
      </c>
    </row>
    <row r="689" spans="1:6">
      <c r="A689">
        <v>3294</v>
      </c>
      <c r="B689" t="s">
        <v>317</v>
      </c>
      <c r="C689">
        <v>19.2</v>
      </c>
      <c r="D689">
        <f>VLOOKUP(A689,收盤價!A:C,3,0)</f>
        <v>17.2</v>
      </c>
      <c r="E689" s="188">
        <v>-0.10416666666666667</v>
      </c>
      <c r="F689">
        <v>5.37</v>
      </c>
    </row>
    <row r="690" spans="1:6">
      <c r="A690">
        <v>3296</v>
      </c>
      <c r="B690" t="s">
        <v>1115</v>
      </c>
      <c r="C690">
        <v>12.7</v>
      </c>
      <c r="D690">
        <f>VLOOKUP(A690,收盤價!A:C,3,0)</f>
        <v>14.9</v>
      </c>
      <c r="E690" s="188">
        <v>0.17322834645669299</v>
      </c>
      <c r="F690">
        <v>46.4</v>
      </c>
    </row>
    <row r="691" spans="1:6">
      <c r="A691">
        <v>3297</v>
      </c>
      <c r="B691" t="s">
        <v>318</v>
      </c>
      <c r="C691">
        <v>14.65</v>
      </c>
      <c r="D691">
        <f>VLOOKUP(A691,收盤價!A:C,3,0)</f>
        <v>18.899999999999999</v>
      </c>
      <c r="E691" s="188">
        <v>0.29010238907849817</v>
      </c>
      <c r="F691">
        <v>70.14</v>
      </c>
    </row>
    <row r="692" spans="1:6">
      <c r="A692">
        <v>3299</v>
      </c>
      <c r="B692" t="s">
        <v>319</v>
      </c>
      <c r="C692">
        <v>41.7</v>
      </c>
      <c r="D692">
        <f>VLOOKUP(A692,收盤價!A:C,3,0)</f>
        <v>50.4</v>
      </c>
      <c r="E692" s="188">
        <v>0.20863309352517975</v>
      </c>
      <c r="F692">
        <v>54.8</v>
      </c>
    </row>
    <row r="693" spans="1:6">
      <c r="A693">
        <v>3303</v>
      </c>
      <c r="B693" t="s">
        <v>320</v>
      </c>
      <c r="C693">
        <v>14.4</v>
      </c>
      <c r="D693">
        <f>VLOOKUP(A693,收盤價!A:C,3,0)</f>
        <v>17.7</v>
      </c>
      <c r="E693" s="188">
        <v>0.22916666666666657</v>
      </c>
      <c r="F693">
        <v>59.09</v>
      </c>
    </row>
    <row r="694" spans="1:6">
      <c r="A694">
        <v>3305</v>
      </c>
      <c r="B694" t="s">
        <v>1116</v>
      </c>
      <c r="C694">
        <v>18.5</v>
      </c>
      <c r="D694">
        <f>VLOOKUP(A694,收盤價!A:C,3,0)</f>
        <v>23.6</v>
      </c>
      <c r="E694" s="188">
        <v>0.27567567567567575</v>
      </c>
      <c r="F694">
        <v>67.8</v>
      </c>
    </row>
    <row r="695" spans="1:6">
      <c r="A695">
        <v>3306</v>
      </c>
      <c r="B695" t="s">
        <v>1508</v>
      </c>
      <c r="C695">
        <v>19.600000000000001</v>
      </c>
      <c r="D695">
        <f>VLOOKUP(A695,收盤價!A:C,3,0)</f>
        <v>25.8</v>
      </c>
      <c r="E695" s="188">
        <v>0.31632653061224486</v>
      </c>
      <c r="F695">
        <v>74.489999999999995</v>
      </c>
    </row>
    <row r="696" spans="1:6">
      <c r="A696">
        <v>3308</v>
      </c>
      <c r="B696" t="s">
        <v>1117</v>
      </c>
      <c r="C696">
        <v>6.01</v>
      </c>
      <c r="D696">
        <f>VLOOKUP(A696,收盤價!A:C,3,0)</f>
        <v>7.7</v>
      </c>
      <c r="E696" s="188">
        <v>0.2811980033277871</v>
      </c>
      <c r="F696">
        <v>68.88</v>
      </c>
    </row>
    <row r="697" spans="1:6">
      <c r="A697">
        <v>3310</v>
      </c>
      <c r="B697" t="s">
        <v>1509</v>
      </c>
      <c r="C697">
        <v>14.6</v>
      </c>
      <c r="D697">
        <f>VLOOKUP(A697,收盤價!A:C,3,0)</f>
        <v>13.2</v>
      </c>
      <c r="E697" s="188">
        <v>-9.5890410958904132E-2</v>
      </c>
      <c r="F697">
        <v>5.68</v>
      </c>
    </row>
    <row r="698" spans="1:6">
      <c r="A698">
        <v>3311</v>
      </c>
      <c r="B698" t="s">
        <v>1118</v>
      </c>
      <c r="C698">
        <v>13.55</v>
      </c>
      <c r="D698">
        <f>VLOOKUP(A698,收盤價!A:C,3,0)</f>
        <v>17.350000000000001</v>
      </c>
      <c r="E698" s="188">
        <v>0.28044280442804431</v>
      </c>
      <c r="F698">
        <v>68.62</v>
      </c>
    </row>
    <row r="699" spans="1:6">
      <c r="A699">
        <v>3312</v>
      </c>
      <c r="B699" t="s">
        <v>1119</v>
      </c>
      <c r="C699">
        <v>7.38</v>
      </c>
      <c r="D699">
        <f>VLOOKUP(A699,收盤價!A:C,3,0)</f>
        <v>7.08</v>
      </c>
      <c r="E699" s="188">
        <v>-4.0650406504065019E-2</v>
      </c>
      <c r="F699">
        <v>8.52</v>
      </c>
    </row>
    <row r="700" spans="1:6">
      <c r="A700">
        <v>3313</v>
      </c>
      <c r="B700" t="s">
        <v>321</v>
      </c>
      <c r="C700">
        <v>5.72</v>
      </c>
      <c r="D700">
        <f>VLOOKUP(A700,收盤價!A:C,3,0)</f>
        <v>8</v>
      </c>
      <c r="E700" s="188">
        <v>0.39860139860139865</v>
      </c>
      <c r="F700">
        <v>84.03</v>
      </c>
    </row>
    <row r="701" spans="1:6">
      <c r="A701">
        <v>3315</v>
      </c>
      <c r="B701" t="s">
        <v>1120</v>
      </c>
      <c r="C701">
        <v>12.65</v>
      </c>
      <c r="D701">
        <f>VLOOKUP(A701,收盤價!A:C,3,0)</f>
        <v>16.25</v>
      </c>
      <c r="E701" s="188">
        <v>0.28458498023715412</v>
      </c>
      <c r="F701">
        <v>69.260000000000005</v>
      </c>
    </row>
    <row r="702" spans="1:6">
      <c r="A702">
        <v>3317</v>
      </c>
      <c r="B702" t="s">
        <v>1510</v>
      </c>
      <c r="C702">
        <v>9</v>
      </c>
      <c r="D702">
        <f>VLOOKUP(A702,收盤價!A:C,3,0)</f>
        <v>11.7</v>
      </c>
      <c r="E702" s="188">
        <v>0.29999999999999993</v>
      </c>
      <c r="F702">
        <v>71.78</v>
      </c>
    </row>
    <row r="703" spans="1:6">
      <c r="A703">
        <v>3322</v>
      </c>
      <c r="B703" t="s">
        <v>1511</v>
      </c>
      <c r="C703">
        <v>6.2</v>
      </c>
      <c r="D703">
        <f>VLOOKUP(A703,收盤價!A:C,3,0)</f>
        <v>10.8</v>
      </c>
      <c r="E703" s="188">
        <v>0.74193548387096786</v>
      </c>
      <c r="F703">
        <v>96.97</v>
      </c>
    </row>
    <row r="704" spans="1:6">
      <c r="A704">
        <v>3323</v>
      </c>
      <c r="B704" t="s">
        <v>322</v>
      </c>
      <c r="C704">
        <v>15.7</v>
      </c>
      <c r="D704">
        <f>VLOOKUP(A704,收盤價!A:C,3,0)</f>
        <v>18.3</v>
      </c>
      <c r="E704" s="188">
        <v>0.16560509554140138</v>
      </c>
      <c r="F704">
        <v>44.32</v>
      </c>
    </row>
    <row r="705" spans="1:6">
      <c r="A705">
        <v>3324</v>
      </c>
      <c r="B705" t="s">
        <v>1512</v>
      </c>
      <c r="C705">
        <v>14.85</v>
      </c>
      <c r="D705">
        <f>VLOOKUP(A705,收盤價!A:C,3,0)</f>
        <v>24.1</v>
      </c>
      <c r="E705" s="188">
        <v>0.62289562289562306</v>
      </c>
      <c r="F705">
        <v>94.89</v>
      </c>
    </row>
    <row r="706" spans="1:6">
      <c r="A706">
        <v>3325</v>
      </c>
      <c r="B706" t="s">
        <v>1513</v>
      </c>
      <c r="C706">
        <v>11.3</v>
      </c>
      <c r="D706">
        <f>VLOOKUP(A706,收盤價!A:C,3,0)</f>
        <v>14.9</v>
      </c>
      <c r="E706" s="188">
        <v>0.31858407079646012</v>
      </c>
      <c r="F706">
        <v>74.62</v>
      </c>
    </row>
    <row r="707" spans="1:6">
      <c r="A707">
        <v>3332</v>
      </c>
      <c r="B707" t="s">
        <v>323</v>
      </c>
      <c r="C707">
        <v>33</v>
      </c>
      <c r="D707">
        <f>VLOOKUP(A707,收盤價!A:C,3,0)</f>
        <v>0</v>
      </c>
      <c r="E707" s="188">
        <v>-1</v>
      </c>
      <c r="F707">
        <v>3.16</v>
      </c>
    </row>
    <row r="708" spans="1:6">
      <c r="A708">
        <v>3338</v>
      </c>
      <c r="B708" t="s">
        <v>1121</v>
      </c>
      <c r="C708">
        <v>16.8</v>
      </c>
      <c r="D708">
        <f>VLOOKUP(A708,收盤價!A:C,3,0)</f>
        <v>23.1</v>
      </c>
      <c r="E708" s="188">
        <v>0.375</v>
      </c>
      <c r="F708">
        <v>81.760000000000005</v>
      </c>
    </row>
    <row r="709" spans="1:6">
      <c r="A709">
        <v>3339</v>
      </c>
      <c r="B709" t="s">
        <v>1514</v>
      </c>
      <c r="C709">
        <v>3.55</v>
      </c>
      <c r="D709">
        <f>VLOOKUP(A709,收盤價!A:C,3,0)</f>
        <v>4.2</v>
      </c>
      <c r="E709" s="188">
        <v>0.18309859154929589</v>
      </c>
      <c r="F709">
        <v>48.86</v>
      </c>
    </row>
    <row r="710" spans="1:6">
      <c r="A710">
        <v>3354</v>
      </c>
      <c r="B710" t="s">
        <v>1515</v>
      </c>
      <c r="C710">
        <v>8.0500000000000007</v>
      </c>
      <c r="D710">
        <f>VLOOKUP(A710,收盤價!A:C,3,0)</f>
        <v>7.72</v>
      </c>
      <c r="E710" s="188">
        <v>-4.0993788819875893E-2</v>
      </c>
      <c r="F710">
        <v>8.4600000000000009</v>
      </c>
    </row>
    <row r="711" spans="1:6">
      <c r="A711">
        <v>3356</v>
      </c>
      <c r="B711" t="s">
        <v>1122</v>
      </c>
      <c r="C711">
        <v>71.099999999999994</v>
      </c>
      <c r="D711">
        <f>VLOOKUP(A711,收盤價!A:C,3,0)</f>
        <v>77.5</v>
      </c>
      <c r="E711" s="188">
        <v>9.0014064697609086E-2</v>
      </c>
      <c r="F711">
        <v>27.46</v>
      </c>
    </row>
    <row r="712" spans="1:6">
      <c r="A712">
        <v>3360</v>
      </c>
      <c r="B712" t="s">
        <v>324</v>
      </c>
      <c r="C712">
        <v>10.9</v>
      </c>
      <c r="D712">
        <f>VLOOKUP(A712,收盤價!A:C,3,0)</f>
        <v>12.6</v>
      </c>
      <c r="E712" s="188">
        <v>0.1559633027522935</v>
      </c>
      <c r="F712">
        <v>42.74</v>
      </c>
    </row>
    <row r="713" spans="1:6">
      <c r="A713">
        <v>3362</v>
      </c>
      <c r="B713" t="s">
        <v>1516</v>
      </c>
      <c r="C713">
        <v>14.6</v>
      </c>
      <c r="D713">
        <f>VLOOKUP(A713,收盤價!A:C,3,0)</f>
        <v>15.2</v>
      </c>
      <c r="E713" s="188">
        <v>4.1095890410958881E-2</v>
      </c>
      <c r="F713">
        <v>17.55</v>
      </c>
    </row>
    <row r="714" spans="1:6">
      <c r="A714">
        <v>3363</v>
      </c>
      <c r="B714" t="s">
        <v>325</v>
      </c>
      <c r="C714">
        <v>25.9</v>
      </c>
      <c r="D714">
        <f>VLOOKUP(A714,收盤價!A:C,3,0)</f>
        <v>25</v>
      </c>
      <c r="E714" s="188">
        <v>-3.4749034749034693E-2</v>
      </c>
      <c r="F714">
        <v>8.9600000000000009</v>
      </c>
    </row>
    <row r="715" spans="1:6">
      <c r="A715">
        <v>3372</v>
      </c>
      <c r="B715" t="s">
        <v>326</v>
      </c>
      <c r="C715">
        <v>5.86</v>
      </c>
      <c r="D715">
        <f>VLOOKUP(A715,收盤價!A:C,3,0)</f>
        <v>7.3</v>
      </c>
      <c r="E715" s="188">
        <v>0.24573378839590435</v>
      </c>
      <c r="F715">
        <v>62.44</v>
      </c>
    </row>
    <row r="716" spans="1:6">
      <c r="A716">
        <v>3373</v>
      </c>
      <c r="B716" t="s">
        <v>327</v>
      </c>
      <c r="C716">
        <v>16.899999999999999</v>
      </c>
      <c r="D716">
        <f>VLOOKUP(A716,收盤價!A:C,3,0)</f>
        <v>24.6</v>
      </c>
      <c r="E716" s="188">
        <v>0.45562130177514815</v>
      </c>
      <c r="F716">
        <v>88.51</v>
      </c>
    </row>
    <row r="717" spans="1:6">
      <c r="A717">
        <v>3374</v>
      </c>
      <c r="B717" t="s">
        <v>328</v>
      </c>
      <c r="C717">
        <v>29.85</v>
      </c>
      <c r="D717">
        <f>VLOOKUP(A717,收盤價!A:C,3,0)</f>
        <v>37.299999999999997</v>
      </c>
      <c r="E717" s="188">
        <v>0.24958123953098812</v>
      </c>
      <c r="F717">
        <v>62.94</v>
      </c>
    </row>
    <row r="718" spans="1:6">
      <c r="A718">
        <v>3376</v>
      </c>
      <c r="B718" t="s">
        <v>1123</v>
      </c>
      <c r="C718">
        <v>69.5</v>
      </c>
      <c r="D718">
        <f>VLOOKUP(A718,收盤價!A:C,3,0)</f>
        <v>105</v>
      </c>
      <c r="E718" s="188">
        <v>0.51079136690647486</v>
      </c>
      <c r="F718">
        <v>91.41</v>
      </c>
    </row>
    <row r="719" spans="1:6">
      <c r="A719">
        <v>3379</v>
      </c>
      <c r="B719" t="s">
        <v>1517</v>
      </c>
      <c r="C719">
        <v>11.6</v>
      </c>
      <c r="D719">
        <f>VLOOKUP(A719,收盤價!A:C,3,0)</f>
        <v>15.75</v>
      </c>
      <c r="E719" s="188">
        <v>0.35775862068965519</v>
      </c>
      <c r="F719">
        <v>80.11</v>
      </c>
    </row>
    <row r="720" spans="1:6">
      <c r="A720">
        <v>3380</v>
      </c>
      <c r="B720" t="s">
        <v>1124</v>
      </c>
      <c r="C720">
        <v>10.9</v>
      </c>
      <c r="D720">
        <f>VLOOKUP(A720,收盤價!A:C,3,0)</f>
        <v>16.600000000000001</v>
      </c>
      <c r="E720" s="188">
        <v>0.52293577981651385</v>
      </c>
      <c r="F720">
        <v>91.73</v>
      </c>
    </row>
    <row r="721" spans="1:6">
      <c r="A721">
        <v>3383</v>
      </c>
      <c r="B721" t="s">
        <v>1125</v>
      </c>
      <c r="C721">
        <v>6.29</v>
      </c>
      <c r="D721">
        <f>VLOOKUP(A721,收盤價!A:C,3,0)</f>
        <v>8.35</v>
      </c>
      <c r="E721" s="188">
        <v>0.32750397456279801</v>
      </c>
      <c r="F721">
        <v>75.819999999999993</v>
      </c>
    </row>
    <row r="722" spans="1:6">
      <c r="A722">
        <v>3388</v>
      </c>
      <c r="B722" t="s">
        <v>329</v>
      </c>
      <c r="C722">
        <v>57</v>
      </c>
      <c r="D722">
        <f>VLOOKUP(A722,收盤價!A:C,3,0)</f>
        <v>62</v>
      </c>
      <c r="E722" s="188">
        <v>8.771929824561403E-2</v>
      </c>
      <c r="F722">
        <v>26.83</v>
      </c>
    </row>
    <row r="723" spans="1:6">
      <c r="A723">
        <v>3390</v>
      </c>
      <c r="B723" t="s">
        <v>1518</v>
      </c>
      <c r="C723">
        <v>13.5</v>
      </c>
      <c r="D723">
        <f>VLOOKUP(A723,收盤價!A:C,3,0)</f>
        <v>16.2</v>
      </c>
      <c r="E723" s="188">
        <v>0.19999999999999996</v>
      </c>
      <c r="F723">
        <v>52.9</v>
      </c>
    </row>
    <row r="724" spans="1:6">
      <c r="A724">
        <v>3402</v>
      </c>
      <c r="B724" t="s">
        <v>1519</v>
      </c>
      <c r="C724">
        <v>11.3</v>
      </c>
      <c r="D724">
        <f>VLOOKUP(A724,收盤價!A:C,3,0)</f>
        <v>14.15</v>
      </c>
      <c r="E724" s="188">
        <v>0.25221238938053092</v>
      </c>
      <c r="F724">
        <v>63.45</v>
      </c>
    </row>
    <row r="725" spans="1:6">
      <c r="A725">
        <v>3406</v>
      </c>
      <c r="B725" t="s">
        <v>1126</v>
      </c>
      <c r="C725">
        <v>40.950000000000003</v>
      </c>
      <c r="D725">
        <f>VLOOKUP(A725,收盤價!A:C,3,0)</f>
        <v>66.7</v>
      </c>
      <c r="E725" s="188">
        <v>0.6288156288156288</v>
      </c>
      <c r="F725">
        <v>95.08</v>
      </c>
    </row>
    <row r="726" spans="1:6">
      <c r="A726">
        <v>3413</v>
      </c>
      <c r="B726" t="s">
        <v>1127</v>
      </c>
      <c r="C726">
        <v>44.1</v>
      </c>
      <c r="D726">
        <f>VLOOKUP(A726,收盤價!A:C,3,0)</f>
        <v>76</v>
      </c>
      <c r="E726" s="188">
        <v>0.72335600907029474</v>
      </c>
      <c r="F726">
        <v>96.65</v>
      </c>
    </row>
    <row r="727" spans="1:6">
      <c r="A727">
        <v>3416</v>
      </c>
      <c r="B727" t="s">
        <v>1128</v>
      </c>
      <c r="C727">
        <v>47.2</v>
      </c>
      <c r="D727">
        <f>VLOOKUP(A727,收盤價!A:C,3,0)</f>
        <v>53</v>
      </c>
      <c r="E727" s="188">
        <v>0.12288135593220333</v>
      </c>
      <c r="F727">
        <v>34.97</v>
      </c>
    </row>
    <row r="728" spans="1:6">
      <c r="A728">
        <v>3419</v>
      </c>
      <c r="B728" t="s">
        <v>1129</v>
      </c>
      <c r="C728">
        <v>10.45</v>
      </c>
      <c r="D728">
        <f>VLOOKUP(A728,收盤價!A:C,3,0)</f>
        <v>14.05</v>
      </c>
      <c r="E728" s="188">
        <v>0.34449760765550252</v>
      </c>
      <c r="F728">
        <v>78.28</v>
      </c>
    </row>
    <row r="729" spans="1:6">
      <c r="A729">
        <v>3428</v>
      </c>
      <c r="B729" t="s">
        <v>330</v>
      </c>
      <c r="C729">
        <v>50.6</v>
      </c>
      <c r="D729">
        <f>VLOOKUP(A729,收盤價!A:C,3,0)</f>
        <v>45.3</v>
      </c>
      <c r="E729" s="188">
        <v>-0.10474308300395264</v>
      </c>
      <c r="F729">
        <v>5.3</v>
      </c>
    </row>
    <row r="730" spans="1:6">
      <c r="A730">
        <v>3431</v>
      </c>
      <c r="B730" t="s">
        <v>1520</v>
      </c>
      <c r="C730">
        <v>7.38</v>
      </c>
      <c r="D730">
        <f>VLOOKUP(A730,收盤價!A:C,3,0)</f>
        <v>9.4</v>
      </c>
      <c r="E730" s="188">
        <v>0.27371273712737132</v>
      </c>
      <c r="F730">
        <v>67.36</v>
      </c>
    </row>
    <row r="731" spans="1:6">
      <c r="A731">
        <v>3432</v>
      </c>
      <c r="B731" t="s">
        <v>1130</v>
      </c>
      <c r="C731">
        <v>10.8</v>
      </c>
      <c r="D731">
        <f>VLOOKUP(A731,收盤價!A:C,3,0)</f>
        <v>13.05</v>
      </c>
      <c r="E731" s="188">
        <v>0.20833333333333331</v>
      </c>
      <c r="F731">
        <v>54.67</v>
      </c>
    </row>
    <row r="732" spans="1:6">
      <c r="A732">
        <v>3434</v>
      </c>
      <c r="B732" t="s">
        <v>331</v>
      </c>
      <c r="C732">
        <v>8.1300000000000008</v>
      </c>
      <c r="D732" t="e">
        <f>VLOOKUP(A732,收盤價!A:C,3,0)</f>
        <v>#N/A</v>
      </c>
      <c r="F732">
        <v>1.7</v>
      </c>
    </row>
    <row r="733" spans="1:6">
      <c r="A733">
        <v>3437</v>
      </c>
      <c r="B733" t="s">
        <v>1131</v>
      </c>
      <c r="C733">
        <v>19</v>
      </c>
      <c r="D733">
        <f>VLOOKUP(A733,收盤價!A:C,3,0)</f>
        <v>24.55</v>
      </c>
      <c r="E733" s="188">
        <v>0.29210526315789476</v>
      </c>
      <c r="F733">
        <v>70.27</v>
      </c>
    </row>
    <row r="734" spans="1:6">
      <c r="A734">
        <v>3438</v>
      </c>
      <c r="B734" t="s">
        <v>1521</v>
      </c>
      <c r="C734">
        <v>15.6</v>
      </c>
      <c r="D734">
        <f>VLOOKUP(A734,收盤價!A:C,3,0)</f>
        <v>17.899999999999999</v>
      </c>
      <c r="E734" s="188">
        <v>0.14743589743589738</v>
      </c>
      <c r="F734">
        <v>40.4</v>
      </c>
    </row>
    <row r="735" spans="1:6">
      <c r="A735">
        <v>3441</v>
      </c>
      <c r="B735" t="s">
        <v>1522</v>
      </c>
      <c r="C735">
        <v>9.2799999999999994</v>
      </c>
      <c r="D735">
        <f>VLOOKUP(A735,收盤價!A:C,3,0)</f>
        <v>11.65</v>
      </c>
      <c r="E735" s="188">
        <v>0.25538793103448287</v>
      </c>
      <c r="F735">
        <v>64.14</v>
      </c>
    </row>
    <row r="736" spans="1:6">
      <c r="A736">
        <v>3443</v>
      </c>
      <c r="B736" t="s">
        <v>1132</v>
      </c>
      <c r="C736">
        <v>53</v>
      </c>
      <c r="D736">
        <f>VLOOKUP(A736,收盤價!A:C,3,0)</f>
        <v>66.8</v>
      </c>
      <c r="E736" s="188">
        <v>0.26037735849056598</v>
      </c>
      <c r="F736">
        <v>65.150000000000006</v>
      </c>
    </row>
    <row r="737" spans="1:6">
      <c r="A737">
        <v>3444</v>
      </c>
      <c r="B737" t="s">
        <v>1523</v>
      </c>
      <c r="C737">
        <v>16.95</v>
      </c>
      <c r="D737">
        <f>VLOOKUP(A737,收盤價!A:C,3,0)</f>
        <v>16.600000000000001</v>
      </c>
      <c r="E737" s="188">
        <v>-2.0648967551622294E-2</v>
      </c>
      <c r="F737">
        <v>10.1</v>
      </c>
    </row>
    <row r="738" spans="1:6">
      <c r="A738">
        <v>3450</v>
      </c>
      <c r="B738" t="s">
        <v>1133</v>
      </c>
      <c r="C738">
        <v>98.6</v>
      </c>
      <c r="D738">
        <f>VLOOKUP(A738,收盤價!A:C,3,0)</f>
        <v>144</v>
      </c>
      <c r="E738" s="188">
        <v>0.46044624746450313</v>
      </c>
      <c r="F738">
        <v>88.7</v>
      </c>
    </row>
    <row r="739" spans="1:6">
      <c r="A739">
        <v>3452</v>
      </c>
      <c r="B739" t="s">
        <v>1524</v>
      </c>
      <c r="C739">
        <v>7.94</v>
      </c>
      <c r="D739">
        <f>VLOOKUP(A739,收盤價!A:C,3,0)</f>
        <v>11.25</v>
      </c>
      <c r="E739" s="188">
        <v>0.41687657430730474</v>
      </c>
      <c r="F739">
        <v>85.61</v>
      </c>
    </row>
    <row r="740" spans="1:6">
      <c r="A740">
        <v>3454</v>
      </c>
      <c r="B740" t="s">
        <v>1134</v>
      </c>
      <c r="C740">
        <v>78</v>
      </c>
      <c r="D740">
        <f>VLOOKUP(A740,收盤價!A:C,3,0)</f>
        <v>78.599999999999994</v>
      </c>
      <c r="E740" s="188">
        <v>7.692307692307619E-3</v>
      </c>
      <c r="F740">
        <v>13.45</v>
      </c>
    </row>
    <row r="741" spans="1:6">
      <c r="A741">
        <v>3455</v>
      </c>
      <c r="B741" t="s">
        <v>332</v>
      </c>
      <c r="C741">
        <v>20.350000000000001</v>
      </c>
      <c r="D741">
        <f>VLOOKUP(A741,收盤價!A:C,3,0)</f>
        <v>27.7</v>
      </c>
      <c r="E741" s="188">
        <v>0.36117936117936106</v>
      </c>
      <c r="F741">
        <v>80.37</v>
      </c>
    </row>
    <row r="742" spans="1:6">
      <c r="A742">
        <v>3465</v>
      </c>
      <c r="B742" t="s">
        <v>1525</v>
      </c>
      <c r="C742">
        <v>0</v>
      </c>
      <c r="F742">
        <v>1.07</v>
      </c>
    </row>
    <row r="743" spans="1:6">
      <c r="A743">
        <v>3466</v>
      </c>
      <c r="B743" t="s">
        <v>333</v>
      </c>
      <c r="C743">
        <v>27.9</v>
      </c>
      <c r="D743">
        <f>VLOOKUP(A743,收盤價!A:C,3,0)</f>
        <v>25.25</v>
      </c>
      <c r="E743" s="188">
        <v>-9.4982078853046548E-2</v>
      </c>
      <c r="F743">
        <v>5.74</v>
      </c>
    </row>
    <row r="744" spans="1:6">
      <c r="A744">
        <v>3474</v>
      </c>
      <c r="B744" t="s">
        <v>1135</v>
      </c>
      <c r="C744">
        <v>17.399999999999999</v>
      </c>
      <c r="D744">
        <f>VLOOKUP(A744,收盤價!A:C,3,0)</f>
        <v>24.6</v>
      </c>
      <c r="E744" s="188">
        <v>0.41379310344827608</v>
      </c>
      <c r="F744">
        <v>85.29</v>
      </c>
    </row>
    <row r="745" spans="1:6">
      <c r="A745">
        <v>3479</v>
      </c>
      <c r="B745" t="s">
        <v>1526</v>
      </c>
      <c r="C745">
        <v>32.799999999999997</v>
      </c>
      <c r="D745">
        <f>VLOOKUP(A745,收盤價!A:C,3,0)</f>
        <v>46.75</v>
      </c>
      <c r="E745" s="188">
        <v>0.42530487804878059</v>
      </c>
      <c r="F745">
        <v>86.11</v>
      </c>
    </row>
    <row r="746" spans="1:6">
      <c r="A746">
        <v>3481</v>
      </c>
      <c r="B746" t="s">
        <v>1136</v>
      </c>
      <c r="C746">
        <v>9.48</v>
      </c>
      <c r="D746">
        <f>VLOOKUP(A746,收盤價!A:C,3,0)</f>
        <v>10.15</v>
      </c>
      <c r="E746" s="188">
        <v>7.0675105485232051E-2</v>
      </c>
      <c r="F746">
        <v>22.22</v>
      </c>
    </row>
    <row r="747" spans="1:6">
      <c r="A747">
        <v>3483</v>
      </c>
      <c r="B747" t="s">
        <v>334</v>
      </c>
      <c r="C747">
        <v>8.8000000000000007</v>
      </c>
      <c r="D747">
        <f>VLOOKUP(A747,收盤價!A:C,3,0)</f>
        <v>11.65</v>
      </c>
      <c r="E747" s="188">
        <v>0.3238636363636363</v>
      </c>
      <c r="F747">
        <v>75.38</v>
      </c>
    </row>
    <row r="748" spans="1:6">
      <c r="A748">
        <v>3484</v>
      </c>
      <c r="B748" t="s">
        <v>335</v>
      </c>
      <c r="C748">
        <v>24.75</v>
      </c>
      <c r="D748">
        <f>VLOOKUP(A748,收盤價!A:C,3,0)</f>
        <v>35.85</v>
      </c>
      <c r="E748" s="188">
        <v>0.44848484848484854</v>
      </c>
      <c r="F748">
        <v>88.07</v>
      </c>
    </row>
    <row r="749" spans="1:6">
      <c r="A749">
        <v>3489</v>
      </c>
      <c r="B749" t="s">
        <v>336</v>
      </c>
      <c r="C749">
        <v>17.45</v>
      </c>
      <c r="D749">
        <f>VLOOKUP(A749,收盤價!A:C,3,0)</f>
        <v>10.3</v>
      </c>
      <c r="E749" s="188">
        <v>-0.4097421203438395</v>
      </c>
      <c r="F749">
        <v>3.41</v>
      </c>
    </row>
    <row r="750" spans="1:6">
      <c r="A750">
        <v>3490</v>
      </c>
      <c r="B750" t="s">
        <v>337</v>
      </c>
      <c r="C750">
        <v>66.400000000000006</v>
      </c>
      <c r="D750">
        <f>VLOOKUP(A750,收盤價!A:C,3,0)</f>
        <v>81.7</v>
      </c>
      <c r="E750" s="188">
        <v>0.2304216867469879</v>
      </c>
      <c r="F750">
        <v>59.66</v>
      </c>
    </row>
    <row r="751" spans="1:6">
      <c r="A751">
        <v>3491</v>
      </c>
      <c r="B751" t="s">
        <v>1527</v>
      </c>
      <c r="C751">
        <v>54.5</v>
      </c>
      <c r="D751">
        <f>VLOOKUP(A751,收盤價!A:C,3,0)</f>
        <v>73.3</v>
      </c>
      <c r="E751" s="188">
        <v>0.34495412844036694</v>
      </c>
      <c r="F751">
        <v>78.349999999999994</v>
      </c>
    </row>
    <row r="752" spans="1:6">
      <c r="A752">
        <v>3492</v>
      </c>
      <c r="B752" t="s">
        <v>1528</v>
      </c>
      <c r="C752">
        <v>15.95</v>
      </c>
      <c r="D752">
        <f>VLOOKUP(A752,收盤價!A:C,3,0)</f>
        <v>32</v>
      </c>
      <c r="E752" s="188">
        <v>1.0062695924764891</v>
      </c>
      <c r="F752">
        <v>98.74</v>
      </c>
    </row>
    <row r="753" spans="1:6">
      <c r="A753">
        <v>3494</v>
      </c>
      <c r="B753" t="s">
        <v>1137</v>
      </c>
      <c r="C753">
        <v>10.15</v>
      </c>
      <c r="D753">
        <f>VLOOKUP(A753,收盤價!A:C,3,0)</f>
        <v>13.45</v>
      </c>
      <c r="E753" s="188">
        <v>0.32512315270935949</v>
      </c>
      <c r="F753">
        <v>75.63</v>
      </c>
    </row>
    <row r="754" spans="1:6">
      <c r="A754">
        <v>3498</v>
      </c>
      <c r="B754" t="s">
        <v>1529</v>
      </c>
      <c r="C754">
        <v>47.8</v>
      </c>
      <c r="D754">
        <f>VLOOKUP(A754,收盤價!A:C,3,0)</f>
        <v>72.900000000000006</v>
      </c>
      <c r="E754" s="188">
        <v>0.52510460251046043</v>
      </c>
      <c r="F754">
        <v>91.92</v>
      </c>
    </row>
    <row r="755" spans="1:6">
      <c r="A755">
        <v>3499</v>
      </c>
      <c r="B755" t="s">
        <v>338</v>
      </c>
      <c r="C755">
        <v>15.15</v>
      </c>
      <c r="D755">
        <f>VLOOKUP(A755,收盤價!A:C,3,0)</f>
        <v>25.6</v>
      </c>
      <c r="E755" s="188">
        <v>0.68976897689768979</v>
      </c>
      <c r="F755">
        <v>96.28</v>
      </c>
    </row>
    <row r="756" spans="1:6">
      <c r="A756">
        <v>3501</v>
      </c>
      <c r="B756" t="s">
        <v>1138</v>
      </c>
      <c r="C756">
        <v>39.5</v>
      </c>
      <c r="D756">
        <f>VLOOKUP(A756,收盤價!A:C,3,0)</f>
        <v>48.8</v>
      </c>
      <c r="E756" s="188">
        <v>0.23544303797468347</v>
      </c>
      <c r="F756">
        <v>60.54</v>
      </c>
    </row>
    <row r="757" spans="1:6">
      <c r="A757">
        <v>3504</v>
      </c>
      <c r="B757" t="s">
        <v>1139</v>
      </c>
      <c r="C757">
        <v>27.1</v>
      </c>
      <c r="D757">
        <f>VLOOKUP(A757,收盤價!A:C,3,0)</f>
        <v>38.5</v>
      </c>
      <c r="E757" s="188">
        <v>0.42066420664206633</v>
      </c>
      <c r="F757">
        <v>85.98</v>
      </c>
    </row>
    <row r="758" spans="1:6">
      <c r="A758">
        <v>3508</v>
      </c>
      <c r="B758" t="s">
        <v>339</v>
      </c>
      <c r="C758">
        <v>9.0500000000000007</v>
      </c>
      <c r="D758">
        <f>VLOOKUP(A758,收盤價!A:C,3,0)</f>
        <v>14.9</v>
      </c>
      <c r="E758" s="188">
        <v>0.64640883977900543</v>
      </c>
      <c r="F758">
        <v>95.39</v>
      </c>
    </row>
    <row r="759" spans="1:6">
      <c r="A759">
        <v>3511</v>
      </c>
      <c r="B759" t="s">
        <v>1530</v>
      </c>
      <c r="C759">
        <v>39.799999999999997</v>
      </c>
      <c r="D759">
        <f>VLOOKUP(A759,收盤價!A:C,3,0)</f>
        <v>33.5</v>
      </c>
      <c r="E759" s="188">
        <v>-0.1582914572864321</v>
      </c>
      <c r="F759">
        <v>3.98</v>
      </c>
    </row>
    <row r="760" spans="1:6">
      <c r="A760">
        <v>3512</v>
      </c>
      <c r="B760" t="s">
        <v>1531</v>
      </c>
      <c r="C760">
        <v>28.95</v>
      </c>
      <c r="D760">
        <f>VLOOKUP(A760,收盤價!A:C,3,0)</f>
        <v>35.5</v>
      </c>
      <c r="E760" s="188">
        <v>0.22625215889464598</v>
      </c>
      <c r="F760">
        <v>58.65</v>
      </c>
    </row>
    <row r="761" spans="1:6">
      <c r="A761">
        <v>3514</v>
      </c>
      <c r="B761" t="s">
        <v>1140</v>
      </c>
      <c r="C761">
        <v>12</v>
      </c>
      <c r="D761">
        <f>VLOOKUP(A761,收盤價!A:C,3,0)</f>
        <v>23.5</v>
      </c>
      <c r="E761" s="188">
        <v>0.95833333333333337</v>
      </c>
      <c r="F761">
        <v>98.55</v>
      </c>
    </row>
    <row r="762" spans="1:6">
      <c r="A762">
        <v>3515</v>
      </c>
      <c r="B762" t="s">
        <v>1141</v>
      </c>
      <c r="C762">
        <v>34.299999999999997</v>
      </c>
      <c r="D762">
        <f>VLOOKUP(A762,收盤價!A:C,3,0)</f>
        <v>49.65</v>
      </c>
      <c r="E762" s="188">
        <v>0.44752186588921289</v>
      </c>
      <c r="F762">
        <v>88.01</v>
      </c>
    </row>
    <row r="763" spans="1:6">
      <c r="A763">
        <v>3516</v>
      </c>
      <c r="B763" t="s">
        <v>340</v>
      </c>
      <c r="C763">
        <v>7.3</v>
      </c>
      <c r="D763">
        <f>VLOOKUP(A763,收盤價!A:C,3,0)</f>
        <v>9.01</v>
      </c>
      <c r="E763" s="188">
        <v>0.23424657534246576</v>
      </c>
      <c r="F763">
        <v>60.35</v>
      </c>
    </row>
    <row r="764" spans="1:6">
      <c r="A764">
        <v>3518</v>
      </c>
      <c r="B764" t="s">
        <v>1142</v>
      </c>
      <c r="C764">
        <v>33.200000000000003</v>
      </c>
      <c r="D764">
        <f>VLOOKUP(A764,收盤價!A:C,3,0)</f>
        <v>36</v>
      </c>
      <c r="E764" s="188">
        <v>8.4337349397590272E-2</v>
      </c>
      <c r="F764">
        <v>26.2</v>
      </c>
    </row>
    <row r="765" spans="1:6">
      <c r="A765">
        <v>3519</v>
      </c>
      <c r="B765" t="s">
        <v>1143</v>
      </c>
      <c r="C765">
        <v>9.86</v>
      </c>
      <c r="D765">
        <f>VLOOKUP(A765,收盤價!A:C,3,0)</f>
        <v>14.7</v>
      </c>
      <c r="E765" s="188">
        <v>0.49087221095334688</v>
      </c>
      <c r="F765">
        <v>90.21</v>
      </c>
    </row>
    <row r="766" spans="1:6">
      <c r="A766">
        <v>3520</v>
      </c>
      <c r="B766" t="s">
        <v>1532</v>
      </c>
      <c r="C766">
        <v>72</v>
      </c>
      <c r="D766">
        <f>VLOOKUP(A766,收盤價!A:C,3,0)</f>
        <v>79.2</v>
      </c>
      <c r="E766" s="188">
        <v>0.10000000000000003</v>
      </c>
      <c r="F766">
        <v>29.61</v>
      </c>
    </row>
    <row r="767" spans="1:6">
      <c r="A767">
        <v>3521</v>
      </c>
      <c r="B767" t="s">
        <v>1533</v>
      </c>
      <c r="C767">
        <v>11.6</v>
      </c>
      <c r="D767">
        <f>VLOOKUP(A767,收盤價!A:C,3,0)</f>
        <v>15.85</v>
      </c>
      <c r="E767" s="188">
        <v>0.36637931034482762</v>
      </c>
      <c r="F767">
        <v>81.12</v>
      </c>
    </row>
    <row r="768" spans="1:6">
      <c r="A768">
        <v>3522</v>
      </c>
      <c r="B768" t="s">
        <v>341</v>
      </c>
      <c r="C768">
        <v>8.11</v>
      </c>
      <c r="D768">
        <f>VLOOKUP(A768,收盤價!A:C,3,0)</f>
        <v>10.5</v>
      </c>
      <c r="E768" s="188">
        <v>0.29469790382244154</v>
      </c>
      <c r="F768">
        <v>70.959999999999994</v>
      </c>
    </row>
    <row r="769" spans="1:6">
      <c r="A769">
        <v>3523</v>
      </c>
      <c r="B769" t="s">
        <v>1534</v>
      </c>
      <c r="C769">
        <v>25.3</v>
      </c>
      <c r="D769">
        <f>VLOOKUP(A769,收盤價!A:C,3,0)</f>
        <v>23</v>
      </c>
      <c r="E769" s="188">
        <v>-9.0909090909090939E-2</v>
      </c>
      <c r="F769">
        <v>5.87</v>
      </c>
    </row>
    <row r="770" spans="1:6">
      <c r="A770">
        <v>3526</v>
      </c>
      <c r="B770" t="s">
        <v>1535</v>
      </c>
      <c r="C770">
        <v>18.850000000000001</v>
      </c>
      <c r="D770">
        <f>VLOOKUP(A770,收盤價!A:C,3,0)</f>
        <v>22.05</v>
      </c>
      <c r="E770" s="188">
        <v>0.16976127320954901</v>
      </c>
      <c r="F770">
        <v>45.27</v>
      </c>
    </row>
    <row r="771" spans="1:6">
      <c r="A771">
        <v>3527</v>
      </c>
      <c r="B771" t="s">
        <v>342</v>
      </c>
      <c r="C771">
        <v>32.450000000000003</v>
      </c>
      <c r="D771">
        <f>VLOOKUP(A771,收盤價!A:C,3,0)</f>
        <v>44</v>
      </c>
      <c r="E771" s="188">
        <v>0.35593220338983039</v>
      </c>
      <c r="F771">
        <v>79.55</v>
      </c>
    </row>
    <row r="772" spans="1:6">
      <c r="A772">
        <v>3528</v>
      </c>
      <c r="B772" t="s">
        <v>1536</v>
      </c>
      <c r="C772">
        <v>25.7</v>
      </c>
      <c r="D772">
        <f>VLOOKUP(A772,收盤價!A:C,3,0)</f>
        <v>30.8</v>
      </c>
      <c r="E772" s="188">
        <v>0.19844357976653704</v>
      </c>
      <c r="F772">
        <v>52.53</v>
      </c>
    </row>
    <row r="773" spans="1:6">
      <c r="A773">
        <v>3529</v>
      </c>
      <c r="B773" t="s">
        <v>343</v>
      </c>
      <c r="C773">
        <v>257.5</v>
      </c>
      <c r="D773">
        <f>VLOOKUP(A773,收盤價!A:C,3,0)</f>
        <v>342</v>
      </c>
      <c r="E773" s="188">
        <v>0.32815533980582523</v>
      </c>
      <c r="F773">
        <v>75.95</v>
      </c>
    </row>
    <row r="774" spans="1:6">
      <c r="A774">
        <v>3531</v>
      </c>
      <c r="B774" t="s">
        <v>1537</v>
      </c>
      <c r="C774">
        <v>12.95</v>
      </c>
      <c r="D774">
        <f>VLOOKUP(A774,收盤價!A:C,3,0)</f>
        <v>15.4</v>
      </c>
      <c r="E774" s="188">
        <v>0.18918918918918928</v>
      </c>
      <c r="F774">
        <v>50.57</v>
      </c>
    </row>
    <row r="775" spans="1:6">
      <c r="A775">
        <v>3532</v>
      </c>
      <c r="B775" t="s">
        <v>1144</v>
      </c>
      <c r="C775">
        <v>24.65</v>
      </c>
      <c r="D775">
        <f>VLOOKUP(A775,收盤價!A:C,3,0)</f>
        <v>36.6</v>
      </c>
      <c r="E775" s="188">
        <v>0.48478701825557824</v>
      </c>
      <c r="F775">
        <v>89.96</v>
      </c>
    </row>
    <row r="776" spans="1:6">
      <c r="A776">
        <v>3533</v>
      </c>
      <c r="B776" t="s">
        <v>1145</v>
      </c>
      <c r="C776">
        <v>86.3</v>
      </c>
      <c r="D776">
        <f>VLOOKUP(A776,收盤價!A:C,3,0)</f>
        <v>105.5</v>
      </c>
      <c r="E776" s="188">
        <v>0.22247972190034768</v>
      </c>
      <c r="F776">
        <v>58.08</v>
      </c>
    </row>
    <row r="777" spans="1:6">
      <c r="A777">
        <v>3535</v>
      </c>
      <c r="B777" t="s">
        <v>1146</v>
      </c>
      <c r="C777">
        <v>6.03</v>
      </c>
      <c r="D777">
        <f>VLOOKUP(A777,收盤價!A:C,3,0)</f>
        <v>10.050000000000001</v>
      </c>
      <c r="E777" s="188">
        <v>0.66666666666666674</v>
      </c>
      <c r="F777">
        <v>96.09</v>
      </c>
    </row>
    <row r="778" spans="1:6">
      <c r="A778">
        <v>3536</v>
      </c>
      <c r="B778" t="s">
        <v>1147</v>
      </c>
      <c r="C778">
        <v>6.93</v>
      </c>
      <c r="D778">
        <f>VLOOKUP(A778,收盤價!A:C,3,0)</f>
        <v>6.74</v>
      </c>
      <c r="E778" s="188">
        <v>-2.7417027417027347E-2</v>
      </c>
      <c r="F778">
        <v>9.5299999999999994</v>
      </c>
    </row>
    <row r="779" spans="1:6">
      <c r="A779">
        <v>3537</v>
      </c>
      <c r="B779" t="s">
        <v>344</v>
      </c>
      <c r="C779">
        <v>13.25</v>
      </c>
      <c r="D779">
        <f>VLOOKUP(A779,收盤價!A:C,3,0)</f>
        <v>18.899999999999999</v>
      </c>
      <c r="E779" s="188">
        <v>0.42641509433962255</v>
      </c>
      <c r="F779">
        <v>86.17</v>
      </c>
    </row>
    <row r="780" spans="1:6">
      <c r="A780">
        <v>3540</v>
      </c>
      <c r="B780" t="s">
        <v>1538</v>
      </c>
      <c r="C780">
        <v>9.4</v>
      </c>
      <c r="D780">
        <f>VLOOKUP(A780,收盤價!A:C,3,0)</f>
        <v>13.05</v>
      </c>
      <c r="E780" s="188">
        <v>0.38829787234042556</v>
      </c>
      <c r="F780">
        <v>83.46</v>
      </c>
    </row>
    <row r="781" spans="1:6">
      <c r="A781">
        <v>3541</v>
      </c>
      <c r="B781" t="s">
        <v>1539</v>
      </c>
      <c r="C781">
        <v>42.4</v>
      </c>
      <c r="D781">
        <f>VLOOKUP(A781,收盤價!A:C,3,0)</f>
        <v>71.599999999999994</v>
      </c>
      <c r="E781" s="188">
        <v>0.68867924528301883</v>
      </c>
      <c r="F781">
        <v>96.21</v>
      </c>
    </row>
    <row r="782" spans="1:6">
      <c r="A782">
        <v>3545</v>
      </c>
      <c r="B782" t="s">
        <v>1148</v>
      </c>
      <c r="C782">
        <v>19.75</v>
      </c>
      <c r="D782">
        <f>VLOOKUP(A782,收盤價!A:C,3,0)</f>
        <v>27.4</v>
      </c>
      <c r="E782" s="188">
        <v>0.38734177215189869</v>
      </c>
      <c r="F782">
        <v>83.27</v>
      </c>
    </row>
    <row r="783" spans="1:6">
      <c r="A783">
        <v>3546</v>
      </c>
      <c r="B783" t="s">
        <v>1540</v>
      </c>
      <c r="C783">
        <v>20</v>
      </c>
      <c r="D783">
        <f>VLOOKUP(A783,收盤價!A:C,3,0)</f>
        <v>31.5</v>
      </c>
      <c r="E783" s="188">
        <v>0.57499999999999996</v>
      </c>
      <c r="F783">
        <v>93.31</v>
      </c>
    </row>
    <row r="784" spans="1:6">
      <c r="A784">
        <v>3548</v>
      </c>
      <c r="B784" t="s">
        <v>345</v>
      </c>
      <c r="C784">
        <v>18.2</v>
      </c>
      <c r="D784">
        <f>VLOOKUP(A784,收盤價!A:C,3,0)</f>
        <v>36.5</v>
      </c>
      <c r="E784" s="188">
        <v>1.0054945054945055</v>
      </c>
      <c r="F784">
        <v>98.67</v>
      </c>
    </row>
    <row r="785" spans="1:6">
      <c r="A785">
        <v>3550</v>
      </c>
      <c r="B785" t="s">
        <v>1149</v>
      </c>
      <c r="C785">
        <v>11.4</v>
      </c>
      <c r="D785">
        <f>VLOOKUP(A785,收盤價!A:C,3,0)</f>
        <v>12.05</v>
      </c>
      <c r="E785" s="188">
        <v>5.7017543859649154E-2</v>
      </c>
      <c r="F785">
        <v>20.52</v>
      </c>
    </row>
    <row r="786" spans="1:6">
      <c r="A786">
        <v>3551</v>
      </c>
      <c r="B786" t="s">
        <v>346</v>
      </c>
      <c r="C786">
        <v>29.15</v>
      </c>
      <c r="D786">
        <f>VLOOKUP(A786,收盤價!A:C,3,0)</f>
        <v>33.9</v>
      </c>
      <c r="E786" s="188">
        <v>0.16295025728987994</v>
      </c>
      <c r="F786">
        <v>44.13</v>
      </c>
    </row>
    <row r="787" spans="1:6">
      <c r="A787">
        <v>3552</v>
      </c>
      <c r="B787" t="s">
        <v>1541</v>
      </c>
      <c r="C787">
        <v>167.5</v>
      </c>
      <c r="D787">
        <f>VLOOKUP(A787,收盤價!A:C,3,0)</f>
        <v>277</v>
      </c>
      <c r="E787" s="188">
        <v>0.65373134328358207</v>
      </c>
      <c r="F787">
        <v>95.96</v>
      </c>
    </row>
    <row r="788" spans="1:6">
      <c r="A788">
        <v>3553</v>
      </c>
      <c r="B788" t="s">
        <v>347</v>
      </c>
      <c r="C788">
        <v>12.6</v>
      </c>
      <c r="D788">
        <f>VLOOKUP(A788,收盤價!A:C,3,0)</f>
        <v>14</v>
      </c>
      <c r="E788" s="188">
        <v>0.11111111111111115</v>
      </c>
      <c r="F788">
        <v>31.94</v>
      </c>
    </row>
    <row r="789" spans="1:6">
      <c r="A789">
        <v>3555</v>
      </c>
      <c r="B789" t="s">
        <v>1542</v>
      </c>
      <c r="C789">
        <v>3.97</v>
      </c>
      <c r="D789">
        <f>VLOOKUP(A789,收盤價!A:C,3,0)</f>
        <v>10</v>
      </c>
      <c r="E789" s="188">
        <v>1.5188916876574305</v>
      </c>
      <c r="F789">
        <v>99.49</v>
      </c>
    </row>
    <row r="790" spans="1:6">
      <c r="A790">
        <v>3556</v>
      </c>
      <c r="B790" t="s">
        <v>348</v>
      </c>
      <c r="C790">
        <v>45.65</v>
      </c>
      <c r="D790">
        <f>VLOOKUP(A790,收盤價!A:C,3,0)</f>
        <v>59.5</v>
      </c>
      <c r="E790" s="188">
        <v>0.30339539978094199</v>
      </c>
      <c r="F790">
        <v>72.290000000000006</v>
      </c>
    </row>
    <row r="791" spans="1:6">
      <c r="A791">
        <v>3557</v>
      </c>
      <c r="B791" t="s">
        <v>1150</v>
      </c>
      <c r="C791">
        <v>3.63</v>
      </c>
      <c r="D791">
        <f>VLOOKUP(A791,收盤價!A:C,3,0)</f>
        <v>4.28</v>
      </c>
      <c r="E791" s="188">
        <v>0.17906336088154282</v>
      </c>
      <c r="F791">
        <v>47.73</v>
      </c>
    </row>
    <row r="792" spans="1:6">
      <c r="A792">
        <v>3558</v>
      </c>
      <c r="B792" t="s">
        <v>349</v>
      </c>
      <c r="C792">
        <v>210</v>
      </c>
      <c r="D792">
        <f>VLOOKUP(A792,收盤價!A:C,3,0)</f>
        <v>233</v>
      </c>
      <c r="E792" s="188">
        <v>0.10952380952380952</v>
      </c>
      <c r="F792">
        <v>31.44</v>
      </c>
    </row>
    <row r="793" spans="1:6">
      <c r="A793">
        <v>3559</v>
      </c>
      <c r="B793" t="s">
        <v>1151</v>
      </c>
      <c r="C793">
        <v>15.95</v>
      </c>
      <c r="D793">
        <f>VLOOKUP(A793,收盤價!A:C,3,0)</f>
        <v>21.2</v>
      </c>
      <c r="E793" s="188">
        <v>0.32915360501567398</v>
      </c>
      <c r="F793">
        <v>76.14</v>
      </c>
    </row>
    <row r="794" spans="1:6">
      <c r="A794">
        <v>3561</v>
      </c>
      <c r="B794" t="s">
        <v>1152</v>
      </c>
      <c r="C794">
        <v>11</v>
      </c>
      <c r="D794">
        <f>VLOOKUP(A794,收盤價!A:C,3,0)</f>
        <v>17.55</v>
      </c>
      <c r="E794" s="188">
        <v>0.59545454545454557</v>
      </c>
      <c r="F794">
        <v>93.94</v>
      </c>
    </row>
    <row r="795" spans="1:6">
      <c r="A795">
        <v>3562</v>
      </c>
      <c r="B795" t="s">
        <v>350</v>
      </c>
      <c r="C795">
        <v>0</v>
      </c>
      <c r="F795">
        <v>1.01</v>
      </c>
    </row>
    <row r="796" spans="1:6">
      <c r="A796">
        <v>3563</v>
      </c>
      <c r="B796" t="s">
        <v>351</v>
      </c>
      <c r="C796">
        <v>35.200000000000003</v>
      </c>
      <c r="D796">
        <f>VLOOKUP(A796,收盤價!A:C,3,0)</f>
        <v>44</v>
      </c>
      <c r="E796" s="188">
        <v>0.24999999999999989</v>
      </c>
      <c r="F796">
        <v>63.01</v>
      </c>
    </row>
    <row r="797" spans="1:6">
      <c r="A797">
        <v>3564</v>
      </c>
      <c r="B797" t="s">
        <v>1543</v>
      </c>
      <c r="C797">
        <v>50.4</v>
      </c>
      <c r="D797">
        <f>VLOOKUP(A797,收盤價!A:C,3,0)</f>
        <v>70.3</v>
      </c>
      <c r="E797" s="188">
        <v>0.39484126984126983</v>
      </c>
      <c r="F797">
        <v>83.9</v>
      </c>
    </row>
    <row r="798" spans="1:6">
      <c r="A798">
        <v>3567</v>
      </c>
      <c r="B798" t="s">
        <v>1544</v>
      </c>
      <c r="C798">
        <v>10.1</v>
      </c>
      <c r="D798">
        <f>VLOOKUP(A798,收盤價!A:C,3,0)</f>
        <v>11.8</v>
      </c>
      <c r="E798" s="188">
        <v>0.16831683168316844</v>
      </c>
      <c r="F798">
        <v>44.95</v>
      </c>
    </row>
    <row r="799" spans="1:6">
      <c r="A799">
        <v>3570</v>
      </c>
      <c r="B799" t="s">
        <v>1545</v>
      </c>
      <c r="C799">
        <v>68.5</v>
      </c>
      <c r="D799">
        <f>VLOOKUP(A799,收盤價!A:C,3,0)</f>
        <v>86</v>
      </c>
      <c r="E799" s="188">
        <v>0.25547445255474455</v>
      </c>
      <c r="F799">
        <v>64.2</v>
      </c>
    </row>
    <row r="800" spans="1:6">
      <c r="A800">
        <v>3573</v>
      </c>
      <c r="B800" t="s">
        <v>1153</v>
      </c>
      <c r="C800">
        <v>13.5</v>
      </c>
      <c r="D800">
        <f>VLOOKUP(A800,收盤價!A:C,3,0)</f>
        <v>17.3</v>
      </c>
      <c r="E800" s="188">
        <v>0.28148148148148155</v>
      </c>
      <c r="F800">
        <v>69</v>
      </c>
    </row>
    <row r="801" spans="1:6">
      <c r="A801">
        <v>3576</v>
      </c>
      <c r="B801" t="s">
        <v>1154</v>
      </c>
      <c r="C801">
        <v>14.75</v>
      </c>
      <c r="D801">
        <f>VLOOKUP(A801,收盤價!A:C,3,0)</f>
        <v>20.75</v>
      </c>
      <c r="E801" s="188">
        <v>0.40677966101694918</v>
      </c>
      <c r="F801">
        <v>84.66</v>
      </c>
    </row>
    <row r="802" spans="1:6">
      <c r="A802">
        <v>3577</v>
      </c>
      <c r="B802" t="s">
        <v>1546</v>
      </c>
      <c r="C802">
        <v>25.9</v>
      </c>
      <c r="D802">
        <f>VLOOKUP(A802,收盤價!A:C,3,0)</f>
        <v>31.9</v>
      </c>
      <c r="E802" s="188">
        <v>0.23166023166023167</v>
      </c>
      <c r="F802">
        <v>59.91</v>
      </c>
    </row>
    <row r="803" spans="1:6">
      <c r="A803">
        <v>3579</v>
      </c>
      <c r="B803" t="s">
        <v>1155</v>
      </c>
      <c r="C803">
        <v>8.11</v>
      </c>
      <c r="D803">
        <f>VLOOKUP(A803,收盤價!A:C,3,0)</f>
        <v>11.85</v>
      </c>
      <c r="E803" s="188">
        <v>0.46115906288532682</v>
      </c>
      <c r="F803">
        <v>88.76</v>
      </c>
    </row>
    <row r="804" spans="1:6">
      <c r="A804">
        <v>3580</v>
      </c>
      <c r="B804" t="s">
        <v>1547</v>
      </c>
      <c r="C804">
        <v>5.0999999999999996</v>
      </c>
      <c r="D804">
        <f>VLOOKUP(A804,收盤價!A:C,3,0)</f>
        <v>5.83</v>
      </c>
      <c r="E804" s="188">
        <v>0.14313725490196089</v>
      </c>
      <c r="F804">
        <v>39.270000000000003</v>
      </c>
    </row>
    <row r="805" spans="1:6">
      <c r="A805">
        <v>3581</v>
      </c>
      <c r="B805" t="s">
        <v>1548</v>
      </c>
      <c r="C805">
        <v>12.5</v>
      </c>
      <c r="D805">
        <f>VLOOKUP(A805,收盤價!A:C,3,0)</f>
        <v>15.9</v>
      </c>
      <c r="E805" s="188">
        <v>0.27200000000000002</v>
      </c>
      <c r="F805">
        <v>66.86</v>
      </c>
    </row>
    <row r="806" spans="1:6">
      <c r="A806">
        <v>3583</v>
      </c>
      <c r="B806" t="s">
        <v>1156</v>
      </c>
      <c r="C806">
        <v>55.8</v>
      </c>
      <c r="D806">
        <f>VLOOKUP(A806,收盤價!A:C,3,0)</f>
        <v>73.599999999999994</v>
      </c>
      <c r="E806" s="188">
        <v>0.31899641577060928</v>
      </c>
      <c r="F806">
        <v>74.75</v>
      </c>
    </row>
    <row r="807" spans="1:6">
      <c r="A807">
        <v>3584</v>
      </c>
      <c r="B807" t="s">
        <v>1157</v>
      </c>
      <c r="C807">
        <v>5.35</v>
      </c>
      <c r="D807">
        <f>VLOOKUP(A807,收盤價!A:C,3,0)</f>
        <v>6.65</v>
      </c>
      <c r="E807" s="188">
        <v>0.24299065420560761</v>
      </c>
      <c r="F807">
        <v>61.93</v>
      </c>
    </row>
    <row r="808" spans="1:6">
      <c r="A808">
        <v>3587</v>
      </c>
      <c r="B808" t="s">
        <v>1549</v>
      </c>
      <c r="C808">
        <v>34</v>
      </c>
      <c r="D808">
        <f>VLOOKUP(A808,收盤價!A:C,3,0)</f>
        <v>56</v>
      </c>
      <c r="E808" s="188">
        <v>0.6470588235294118</v>
      </c>
      <c r="F808">
        <v>95.52</v>
      </c>
    </row>
    <row r="809" spans="1:6">
      <c r="A809">
        <v>3588</v>
      </c>
      <c r="B809" t="s">
        <v>1158</v>
      </c>
      <c r="C809">
        <v>21.95</v>
      </c>
      <c r="D809">
        <f>VLOOKUP(A809,收盤價!A:C,3,0)</f>
        <v>27.45</v>
      </c>
      <c r="E809" s="188">
        <v>0.25056947608200458</v>
      </c>
      <c r="F809">
        <v>63.26</v>
      </c>
    </row>
    <row r="810" spans="1:6">
      <c r="A810">
        <v>3591</v>
      </c>
      <c r="B810" t="s">
        <v>1159</v>
      </c>
      <c r="C810">
        <v>17.3</v>
      </c>
      <c r="D810">
        <f>VLOOKUP(A810,收盤價!A:C,3,0)</f>
        <v>17.850000000000001</v>
      </c>
      <c r="E810" s="188">
        <v>3.1791907514450907E-2</v>
      </c>
      <c r="F810">
        <v>16.350000000000001</v>
      </c>
    </row>
    <row r="811" spans="1:6">
      <c r="A811">
        <v>3593</v>
      </c>
      <c r="B811" t="s">
        <v>1160</v>
      </c>
      <c r="C811">
        <v>7.3</v>
      </c>
      <c r="D811">
        <f>VLOOKUP(A811,收盤價!A:C,3,0)</f>
        <v>8.06</v>
      </c>
      <c r="E811" s="188">
        <v>0.10410958904109599</v>
      </c>
      <c r="F811">
        <v>30.24</v>
      </c>
    </row>
    <row r="812" spans="1:6">
      <c r="A812">
        <v>3594</v>
      </c>
      <c r="B812" t="s">
        <v>352</v>
      </c>
      <c r="C812">
        <v>19.75</v>
      </c>
      <c r="D812">
        <f>VLOOKUP(A812,收盤價!A:C,3,0)</f>
        <v>30.25</v>
      </c>
      <c r="E812" s="188">
        <v>0.53164556962025311</v>
      </c>
      <c r="F812">
        <v>92.05</v>
      </c>
    </row>
    <row r="813" spans="1:6">
      <c r="A813">
        <v>3596</v>
      </c>
      <c r="B813" t="s">
        <v>1161</v>
      </c>
      <c r="C813">
        <v>19.2</v>
      </c>
      <c r="D813">
        <f>VLOOKUP(A813,收盤價!A:C,3,0)</f>
        <v>29.5</v>
      </c>
      <c r="E813" s="188">
        <v>0.53645833333333337</v>
      </c>
      <c r="F813">
        <v>92.17</v>
      </c>
    </row>
    <row r="814" spans="1:6">
      <c r="A814">
        <v>3598</v>
      </c>
      <c r="B814" t="s">
        <v>1162</v>
      </c>
      <c r="C814">
        <v>38.6</v>
      </c>
      <c r="D814">
        <f>VLOOKUP(A814,收盤價!A:C,3,0)</f>
        <v>49.2</v>
      </c>
      <c r="E814" s="188">
        <v>0.2746113989637306</v>
      </c>
      <c r="F814">
        <v>67.61</v>
      </c>
    </row>
    <row r="815" spans="1:6">
      <c r="A815">
        <v>3605</v>
      </c>
      <c r="B815" t="s">
        <v>1163</v>
      </c>
      <c r="C815">
        <v>14.5</v>
      </c>
      <c r="D815">
        <f>VLOOKUP(A815,收盤價!A:C,3,0)</f>
        <v>26.85</v>
      </c>
      <c r="E815" s="188">
        <v>0.85172413793103463</v>
      </c>
      <c r="F815">
        <v>98.11</v>
      </c>
    </row>
    <row r="816" spans="1:6">
      <c r="A816">
        <v>3607</v>
      </c>
      <c r="B816" t="s">
        <v>1164</v>
      </c>
      <c r="C816">
        <v>49</v>
      </c>
      <c r="D816">
        <f>VLOOKUP(A816,收盤價!A:C,3,0)</f>
        <v>54.8</v>
      </c>
      <c r="E816" s="188">
        <v>0.11836734693877546</v>
      </c>
      <c r="F816">
        <v>33.65</v>
      </c>
    </row>
    <row r="817" spans="1:6">
      <c r="A817">
        <v>3609</v>
      </c>
      <c r="B817" t="s">
        <v>353</v>
      </c>
      <c r="C817">
        <v>13.4</v>
      </c>
      <c r="D817">
        <f>VLOOKUP(A817,收盤價!A:C,3,0)</f>
        <v>12.9</v>
      </c>
      <c r="E817" s="188">
        <v>-3.7313432835820892E-2</v>
      </c>
      <c r="F817">
        <v>8.7100000000000009</v>
      </c>
    </row>
    <row r="818" spans="1:6">
      <c r="A818">
        <v>3611</v>
      </c>
      <c r="B818" t="s">
        <v>354</v>
      </c>
      <c r="C818">
        <v>210</v>
      </c>
      <c r="D818">
        <f>VLOOKUP(A818,收盤價!A:C,3,0)</f>
        <v>300</v>
      </c>
      <c r="E818" s="188">
        <v>0.42857142857142855</v>
      </c>
      <c r="F818">
        <v>86.3</v>
      </c>
    </row>
    <row r="819" spans="1:6">
      <c r="A819">
        <v>3615</v>
      </c>
      <c r="B819" t="s">
        <v>1550</v>
      </c>
      <c r="C819">
        <v>13.15</v>
      </c>
      <c r="D819">
        <f>VLOOKUP(A819,收盤價!A:C,3,0)</f>
        <v>17.850000000000001</v>
      </c>
      <c r="E819" s="188">
        <v>0.35741444866920158</v>
      </c>
      <c r="F819">
        <v>79.989999999999995</v>
      </c>
    </row>
    <row r="820" spans="1:6">
      <c r="A820">
        <v>3617</v>
      </c>
      <c r="B820" t="s">
        <v>1165</v>
      </c>
      <c r="C820">
        <v>54.6</v>
      </c>
      <c r="D820">
        <f>VLOOKUP(A820,收盤價!A:C,3,0)</f>
        <v>93.7</v>
      </c>
      <c r="E820" s="188">
        <v>0.71611721611721613</v>
      </c>
      <c r="F820">
        <v>96.59</v>
      </c>
    </row>
    <row r="821" spans="1:6">
      <c r="A821">
        <v>3622</v>
      </c>
      <c r="B821" t="s">
        <v>1166</v>
      </c>
      <c r="C821">
        <v>8.1199999999999992</v>
      </c>
      <c r="D821">
        <f>VLOOKUP(A821,收盤價!A:C,3,0)</f>
        <v>11.2</v>
      </c>
      <c r="E821" s="188">
        <v>0.37931034482758624</v>
      </c>
      <c r="F821">
        <v>82.51</v>
      </c>
    </row>
    <row r="822" spans="1:6">
      <c r="A822">
        <v>3623</v>
      </c>
      <c r="B822" t="s">
        <v>355</v>
      </c>
      <c r="C822">
        <v>29.4</v>
      </c>
      <c r="D822">
        <f>VLOOKUP(A822,收盤價!A:C,3,0)</f>
        <v>37.25</v>
      </c>
      <c r="E822" s="188">
        <v>0.26700680272108851</v>
      </c>
      <c r="F822">
        <v>66.22</v>
      </c>
    </row>
    <row r="823" spans="1:6">
      <c r="A823">
        <v>3624</v>
      </c>
      <c r="B823" t="s">
        <v>356</v>
      </c>
      <c r="C823">
        <v>19.8</v>
      </c>
      <c r="D823">
        <f>VLOOKUP(A823,收盤價!A:C,3,0)</f>
        <v>22.85</v>
      </c>
      <c r="E823" s="188">
        <v>0.15404040404040406</v>
      </c>
      <c r="F823">
        <v>42.05</v>
      </c>
    </row>
    <row r="824" spans="1:6">
      <c r="A824">
        <v>3625</v>
      </c>
      <c r="B824" t="s">
        <v>357</v>
      </c>
      <c r="C824">
        <v>6.48</v>
      </c>
      <c r="D824">
        <f>VLOOKUP(A824,收盤價!A:C,3,0)</f>
        <v>10.5</v>
      </c>
      <c r="E824" s="188">
        <v>0.62037037037037024</v>
      </c>
      <c r="F824">
        <v>94.76</v>
      </c>
    </row>
    <row r="825" spans="1:6">
      <c r="A825">
        <v>3628</v>
      </c>
      <c r="B825" t="s">
        <v>1551</v>
      </c>
      <c r="C825">
        <v>48.3</v>
      </c>
      <c r="D825">
        <f>VLOOKUP(A825,收盤價!A:C,3,0)</f>
        <v>48.5</v>
      </c>
      <c r="E825" s="188">
        <v>4.1407867494824609E-3</v>
      </c>
      <c r="F825">
        <v>12.94</v>
      </c>
    </row>
    <row r="826" spans="1:6">
      <c r="A826">
        <v>3629</v>
      </c>
      <c r="B826" t="s">
        <v>1552</v>
      </c>
      <c r="C826">
        <v>0</v>
      </c>
      <c r="F826">
        <v>0.95</v>
      </c>
    </row>
    <row r="827" spans="1:6">
      <c r="A827">
        <v>3630</v>
      </c>
      <c r="B827" t="s">
        <v>358</v>
      </c>
      <c r="C827">
        <v>12.35</v>
      </c>
      <c r="D827">
        <f>VLOOKUP(A827,收盤價!A:C,3,0)</f>
        <v>17.3</v>
      </c>
      <c r="E827" s="188">
        <v>0.4008097165991904</v>
      </c>
      <c r="F827">
        <v>84.15</v>
      </c>
    </row>
    <row r="828" spans="1:6">
      <c r="A828">
        <v>3631</v>
      </c>
      <c r="B828" t="s">
        <v>359</v>
      </c>
      <c r="C828">
        <v>31.6</v>
      </c>
      <c r="D828">
        <f>VLOOKUP(A828,收盤價!A:C,3,0)</f>
        <v>24.5</v>
      </c>
      <c r="E828" s="188">
        <v>-0.2246835443037975</v>
      </c>
      <c r="F828">
        <v>3.66</v>
      </c>
    </row>
    <row r="829" spans="1:6">
      <c r="A829">
        <v>3632</v>
      </c>
      <c r="B829" t="s">
        <v>1553</v>
      </c>
      <c r="C829">
        <v>20.2</v>
      </c>
      <c r="D829">
        <f>VLOOKUP(A829,收盤價!A:C,3,0)</f>
        <v>24.4</v>
      </c>
      <c r="E829" s="188">
        <v>0.20792079207920788</v>
      </c>
      <c r="F829">
        <v>54.42</v>
      </c>
    </row>
    <row r="830" spans="1:6">
      <c r="A830">
        <v>3642</v>
      </c>
      <c r="B830" t="s">
        <v>1554</v>
      </c>
      <c r="C830">
        <v>17.100000000000001</v>
      </c>
      <c r="D830">
        <f>VLOOKUP(A830,收盤價!A:C,3,0)</f>
        <v>16.5</v>
      </c>
      <c r="E830" s="188">
        <v>-3.5087719298245695E-2</v>
      </c>
      <c r="F830">
        <v>8.9</v>
      </c>
    </row>
    <row r="831" spans="1:6">
      <c r="A831">
        <v>3645</v>
      </c>
      <c r="B831" t="s">
        <v>1167</v>
      </c>
      <c r="C831">
        <v>33.450000000000003</v>
      </c>
      <c r="D831">
        <f>VLOOKUP(A831,收盤價!A:C,3,0)</f>
        <v>28.45</v>
      </c>
      <c r="E831" s="188">
        <v>-0.14947683109118096</v>
      </c>
      <c r="F831">
        <v>4.17</v>
      </c>
    </row>
    <row r="832" spans="1:6">
      <c r="A832">
        <v>3646</v>
      </c>
      <c r="B832" t="s">
        <v>1555</v>
      </c>
      <c r="C832">
        <v>10.35</v>
      </c>
      <c r="D832">
        <f>VLOOKUP(A832,收盤價!A:C,3,0)</f>
        <v>12.7</v>
      </c>
      <c r="E832" s="188">
        <v>0.22705314009661834</v>
      </c>
      <c r="F832">
        <v>58.71</v>
      </c>
    </row>
    <row r="833" spans="1:6">
      <c r="A833">
        <v>3652</v>
      </c>
      <c r="B833" t="s">
        <v>360</v>
      </c>
      <c r="C833">
        <v>13.6</v>
      </c>
      <c r="D833">
        <f>VLOOKUP(A833,收盤價!A:C,3,0)</f>
        <v>0</v>
      </c>
      <c r="E833" s="188">
        <v>-1</v>
      </c>
      <c r="F833">
        <v>3.35</v>
      </c>
    </row>
    <row r="834" spans="1:6">
      <c r="A834">
        <v>3653</v>
      </c>
      <c r="B834" t="s">
        <v>1168</v>
      </c>
      <c r="C834">
        <v>37</v>
      </c>
      <c r="D834">
        <f>VLOOKUP(A834,收盤價!A:C,3,0)</f>
        <v>45</v>
      </c>
      <c r="E834" s="188">
        <v>0.21621621621621623</v>
      </c>
      <c r="F834">
        <v>56.88</v>
      </c>
    </row>
    <row r="835" spans="1:6">
      <c r="A835">
        <v>3658</v>
      </c>
      <c r="B835" t="s">
        <v>361</v>
      </c>
      <c r="C835">
        <v>1115</v>
      </c>
      <c r="D835">
        <f>VLOOKUP(A835,收盤價!A:C,3,0)</f>
        <v>1325</v>
      </c>
      <c r="E835" s="188">
        <v>0.18834080717488788</v>
      </c>
      <c r="F835">
        <v>50.25</v>
      </c>
    </row>
    <row r="836" spans="1:6">
      <c r="A836">
        <v>3661</v>
      </c>
      <c r="B836" t="s">
        <v>1169</v>
      </c>
      <c r="C836">
        <v>35.950000000000003</v>
      </c>
      <c r="D836">
        <f>VLOOKUP(A836,收盤價!A:C,3,0)</f>
        <v>39.950000000000003</v>
      </c>
      <c r="E836" s="188">
        <v>0.11126564673157162</v>
      </c>
      <c r="F836">
        <v>32.07</v>
      </c>
    </row>
    <row r="837" spans="1:6">
      <c r="A837">
        <v>3662</v>
      </c>
      <c r="B837" t="s">
        <v>1556</v>
      </c>
      <c r="C837">
        <v>72</v>
      </c>
      <c r="D837">
        <f>VLOOKUP(A837,收盤價!A:C,3,0)</f>
        <v>87.3</v>
      </c>
      <c r="E837" s="188">
        <v>0.21249999999999997</v>
      </c>
      <c r="F837">
        <v>56.06</v>
      </c>
    </row>
    <row r="838" spans="1:6">
      <c r="A838">
        <v>3663</v>
      </c>
      <c r="B838" t="s">
        <v>1557</v>
      </c>
      <c r="C838">
        <v>15</v>
      </c>
      <c r="D838">
        <f>VLOOKUP(A838,收盤價!A:C,3,0)</f>
        <v>16.100000000000001</v>
      </c>
      <c r="E838" s="188">
        <v>7.3333333333333431E-2</v>
      </c>
      <c r="F838">
        <v>23.04</v>
      </c>
    </row>
    <row r="839" spans="1:6">
      <c r="A839">
        <v>3664</v>
      </c>
      <c r="B839" t="s">
        <v>1558</v>
      </c>
      <c r="C839">
        <v>12.8</v>
      </c>
      <c r="D839">
        <f>VLOOKUP(A839,收盤價!A:C,3,0)</f>
        <v>15.5</v>
      </c>
      <c r="E839" s="188">
        <v>0.21093749999999994</v>
      </c>
      <c r="F839">
        <v>55.56</v>
      </c>
    </row>
    <row r="840" spans="1:6">
      <c r="A840">
        <v>3665</v>
      </c>
      <c r="B840" t="s">
        <v>1170</v>
      </c>
      <c r="C840">
        <v>116</v>
      </c>
      <c r="D840">
        <f>VLOOKUP(A840,收盤價!A:C,3,0)</f>
        <v>132</v>
      </c>
      <c r="E840" s="188">
        <v>0.13793103448275862</v>
      </c>
      <c r="F840">
        <v>38.26</v>
      </c>
    </row>
    <row r="841" spans="1:6">
      <c r="A841">
        <v>3666</v>
      </c>
      <c r="B841" t="s">
        <v>362</v>
      </c>
      <c r="C841">
        <v>12.5</v>
      </c>
      <c r="D841">
        <f>VLOOKUP(A841,收盤價!A:C,3,0)</f>
        <v>22</v>
      </c>
      <c r="E841" s="188">
        <v>0.76</v>
      </c>
      <c r="F841">
        <v>97.35</v>
      </c>
    </row>
    <row r="842" spans="1:6">
      <c r="A842">
        <v>3669</v>
      </c>
      <c r="B842" t="s">
        <v>1171</v>
      </c>
      <c r="C842">
        <v>13.4</v>
      </c>
      <c r="D842">
        <f>VLOOKUP(A842,收盤價!A:C,3,0)</f>
        <v>14.25</v>
      </c>
      <c r="E842" s="188">
        <v>6.3432835820895497E-2</v>
      </c>
      <c r="F842">
        <v>21.59</v>
      </c>
    </row>
    <row r="843" spans="1:6">
      <c r="A843">
        <v>3672</v>
      </c>
      <c r="B843" t="s">
        <v>363</v>
      </c>
      <c r="C843">
        <v>27.5</v>
      </c>
      <c r="D843">
        <f>VLOOKUP(A843,收盤價!A:C,3,0)</f>
        <v>37.9</v>
      </c>
      <c r="E843" s="188">
        <v>0.37818181818181812</v>
      </c>
      <c r="F843">
        <v>82.39</v>
      </c>
    </row>
    <row r="844" spans="1:6">
      <c r="A844">
        <v>3673</v>
      </c>
      <c r="B844" t="s">
        <v>1172</v>
      </c>
      <c r="C844">
        <v>69.2</v>
      </c>
      <c r="D844">
        <f>VLOOKUP(A844,收盤價!A:C,3,0)</f>
        <v>98.1</v>
      </c>
      <c r="E844" s="188">
        <v>0.41763005780346807</v>
      </c>
      <c r="F844">
        <v>85.8</v>
      </c>
    </row>
    <row r="845" spans="1:6">
      <c r="A845">
        <v>3675</v>
      </c>
      <c r="B845" t="s">
        <v>1559</v>
      </c>
      <c r="C845">
        <v>18.899999999999999</v>
      </c>
      <c r="D845">
        <f>VLOOKUP(A845,收盤價!A:C,3,0)</f>
        <v>23.2</v>
      </c>
      <c r="E845" s="188">
        <v>0.22751322751322756</v>
      </c>
      <c r="F845">
        <v>58.96</v>
      </c>
    </row>
    <row r="846" spans="1:6">
      <c r="A846">
        <v>3679</v>
      </c>
      <c r="B846" t="s">
        <v>1173</v>
      </c>
      <c r="C846">
        <v>33.450000000000003</v>
      </c>
      <c r="D846">
        <f>VLOOKUP(A846,收盤價!A:C,3,0)</f>
        <v>43.9</v>
      </c>
      <c r="E846" s="188">
        <v>0.31240657698056784</v>
      </c>
      <c r="F846">
        <v>73.86</v>
      </c>
    </row>
    <row r="847" spans="1:6">
      <c r="A847">
        <v>3680</v>
      </c>
      <c r="B847" t="s">
        <v>1560</v>
      </c>
      <c r="C847">
        <v>26.75</v>
      </c>
      <c r="D847">
        <f>VLOOKUP(A847,收盤價!A:C,3,0)</f>
        <v>29.1</v>
      </c>
      <c r="E847" s="188">
        <v>8.785046728971968E-2</v>
      </c>
      <c r="F847">
        <v>26.89</v>
      </c>
    </row>
    <row r="848" spans="1:6">
      <c r="A848">
        <v>3682</v>
      </c>
      <c r="B848" t="s">
        <v>1174</v>
      </c>
      <c r="C848">
        <v>8.15</v>
      </c>
      <c r="D848">
        <f>VLOOKUP(A848,收盤價!A:C,3,0)</f>
        <v>11.25</v>
      </c>
      <c r="E848" s="188">
        <v>0.38036809815950912</v>
      </c>
      <c r="F848">
        <v>82.77</v>
      </c>
    </row>
    <row r="849" spans="1:6">
      <c r="A849">
        <v>3684</v>
      </c>
      <c r="B849" t="s">
        <v>1561</v>
      </c>
      <c r="C849">
        <v>48.3</v>
      </c>
      <c r="D849">
        <f>VLOOKUP(A849,收盤價!A:C,3,0)</f>
        <v>62.9</v>
      </c>
      <c r="E849" s="188">
        <v>0.30227743271221535</v>
      </c>
      <c r="F849">
        <v>72.16</v>
      </c>
    </row>
    <row r="850" spans="1:6">
      <c r="A850">
        <v>3685</v>
      </c>
      <c r="B850" t="s">
        <v>1562</v>
      </c>
      <c r="C850">
        <v>47.25</v>
      </c>
      <c r="D850">
        <f>VLOOKUP(A850,收盤價!A:C,3,0)</f>
        <v>43.3</v>
      </c>
      <c r="E850" s="188">
        <v>-8.3597883597883657E-2</v>
      </c>
      <c r="F850">
        <v>6.06</v>
      </c>
    </row>
    <row r="851" spans="1:6">
      <c r="A851">
        <v>3686</v>
      </c>
      <c r="B851" t="s">
        <v>1175</v>
      </c>
      <c r="C851">
        <v>4.91</v>
      </c>
      <c r="D851">
        <f>VLOOKUP(A851,收盤價!A:C,3,0)</f>
        <v>7.25</v>
      </c>
      <c r="E851" s="188">
        <v>0.47657841140529528</v>
      </c>
      <c r="F851">
        <v>89.65</v>
      </c>
    </row>
    <row r="852" spans="1:6">
      <c r="A852">
        <v>3687</v>
      </c>
      <c r="B852" t="s">
        <v>364</v>
      </c>
      <c r="C852">
        <v>38.75</v>
      </c>
      <c r="D852">
        <f>VLOOKUP(A852,收盤價!A:C,3,0)</f>
        <v>70.5</v>
      </c>
      <c r="E852" s="188">
        <v>0.8193548387096774</v>
      </c>
      <c r="F852">
        <v>97.66</v>
      </c>
    </row>
    <row r="853" spans="1:6">
      <c r="A853">
        <v>3689</v>
      </c>
      <c r="B853" t="s">
        <v>1563</v>
      </c>
      <c r="C853">
        <v>28.3</v>
      </c>
      <c r="D853">
        <f>VLOOKUP(A853,收盤價!A:C,3,0)</f>
        <v>36</v>
      </c>
      <c r="E853" s="188">
        <v>0.27208480565371024</v>
      </c>
      <c r="F853">
        <v>66.98</v>
      </c>
    </row>
    <row r="854" spans="1:6">
      <c r="A854">
        <v>3691</v>
      </c>
      <c r="B854" t="s">
        <v>1564</v>
      </c>
      <c r="C854">
        <v>438</v>
      </c>
      <c r="D854">
        <f>VLOOKUP(A854,收盤價!A:C,3,0)</f>
        <v>617</v>
      </c>
      <c r="E854" s="188">
        <v>0.408675799086758</v>
      </c>
      <c r="F854">
        <v>84.72</v>
      </c>
    </row>
    <row r="855" spans="1:6">
      <c r="A855">
        <v>3693</v>
      </c>
      <c r="B855" t="s">
        <v>365</v>
      </c>
      <c r="C855">
        <v>83.5</v>
      </c>
      <c r="D855">
        <f>VLOOKUP(A855,收盤價!A:C,3,0)</f>
        <v>118.5</v>
      </c>
      <c r="E855" s="188">
        <v>0.41916167664670656</v>
      </c>
      <c r="F855">
        <v>85.92</v>
      </c>
    </row>
    <row r="856" spans="1:6">
      <c r="A856">
        <v>3694</v>
      </c>
      <c r="B856" t="s">
        <v>1176</v>
      </c>
      <c r="C856">
        <v>10.35</v>
      </c>
      <c r="D856">
        <f>VLOOKUP(A856,收盤價!A:C,3,0)</f>
        <v>18.899999999999999</v>
      </c>
      <c r="E856" s="188">
        <v>0.82608695652173902</v>
      </c>
      <c r="F856">
        <v>97.85</v>
      </c>
    </row>
    <row r="857" spans="1:6">
      <c r="A857">
        <v>3698</v>
      </c>
      <c r="B857" t="s">
        <v>1177</v>
      </c>
      <c r="C857">
        <v>12.1</v>
      </c>
      <c r="D857">
        <f>VLOOKUP(A857,收盤價!A:C,3,0)</f>
        <v>16.7</v>
      </c>
      <c r="E857" s="188">
        <v>0.3801652892561983</v>
      </c>
      <c r="F857">
        <v>82.64</v>
      </c>
    </row>
    <row r="858" spans="1:6">
      <c r="A858">
        <v>3701</v>
      </c>
      <c r="B858" t="s">
        <v>1178</v>
      </c>
      <c r="C858">
        <v>8.89</v>
      </c>
      <c r="D858">
        <f>VLOOKUP(A858,收盤價!A:C,3,0)</f>
        <v>8.44</v>
      </c>
      <c r="E858" s="188">
        <v>-5.0618672665916874E-2</v>
      </c>
      <c r="F858">
        <v>7.77</v>
      </c>
    </row>
    <row r="859" spans="1:6">
      <c r="A859">
        <v>3702</v>
      </c>
      <c r="B859" t="s">
        <v>1179</v>
      </c>
      <c r="C859">
        <v>28.6</v>
      </c>
      <c r="D859">
        <f>VLOOKUP(A859,收盤價!A:C,3,0)</f>
        <v>32.6</v>
      </c>
      <c r="E859" s="188">
        <v>0.13986013986013984</v>
      </c>
      <c r="F859">
        <v>38.89</v>
      </c>
    </row>
    <row r="860" spans="1:6">
      <c r="A860">
        <v>3703</v>
      </c>
      <c r="B860" t="s">
        <v>1180</v>
      </c>
      <c r="C860">
        <v>7.84</v>
      </c>
      <c r="D860">
        <f>VLOOKUP(A860,收盤價!A:C,3,0)</f>
        <v>10.25</v>
      </c>
      <c r="E860" s="188">
        <v>0.30739795918367352</v>
      </c>
      <c r="F860">
        <v>72.849999999999994</v>
      </c>
    </row>
    <row r="861" spans="1:6">
      <c r="A861">
        <v>3704</v>
      </c>
      <c r="B861" t="s">
        <v>1181</v>
      </c>
      <c r="C861">
        <v>9.6999999999999993</v>
      </c>
      <c r="D861">
        <f>VLOOKUP(A861,收盤價!A:C,3,0)</f>
        <v>12.5</v>
      </c>
      <c r="E861" s="188">
        <v>0.28865979381443307</v>
      </c>
      <c r="F861">
        <v>69.7</v>
      </c>
    </row>
    <row r="862" spans="1:6">
      <c r="A862">
        <v>3705</v>
      </c>
      <c r="B862" t="s">
        <v>1182</v>
      </c>
      <c r="C862">
        <v>42.3</v>
      </c>
      <c r="D862">
        <f>VLOOKUP(A862,收盤價!A:C,3,0)</f>
        <v>46.05</v>
      </c>
      <c r="E862" s="188">
        <v>8.8652482269503549E-2</v>
      </c>
      <c r="F862">
        <v>27.08</v>
      </c>
    </row>
    <row r="863" spans="1:6">
      <c r="A863">
        <v>3706</v>
      </c>
      <c r="B863" t="s">
        <v>1183</v>
      </c>
      <c r="C863">
        <v>18.75</v>
      </c>
      <c r="D863">
        <f>VLOOKUP(A863,收盤價!A:C,3,0)</f>
        <v>24</v>
      </c>
      <c r="E863" s="188">
        <v>0.28000000000000003</v>
      </c>
      <c r="F863">
        <v>68.5</v>
      </c>
    </row>
    <row r="864" spans="1:6">
      <c r="A864">
        <v>3707</v>
      </c>
      <c r="B864" t="s">
        <v>366</v>
      </c>
      <c r="C864">
        <v>6.93</v>
      </c>
      <c r="D864">
        <f>VLOOKUP(A864,收盤價!A:C,3,0)</f>
        <v>9.34</v>
      </c>
      <c r="E864" s="188">
        <v>0.34776334776334777</v>
      </c>
      <c r="F864">
        <v>78.790000000000006</v>
      </c>
    </row>
    <row r="865" spans="1:6">
      <c r="A865">
        <v>4102</v>
      </c>
      <c r="B865" t="s">
        <v>1565</v>
      </c>
      <c r="C865">
        <v>15.9</v>
      </c>
      <c r="D865">
        <f>VLOOKUP(A865,收盤價!A:C,3,0)</f>
        <v>19.350000000000001</v>
      </c>
      <c r="E865" s="188">
        <v>0.21698113207547176</v>
      </c>
      <c r="F865">
        <v>57.01</v>
      </c>
    </row>
    <row r="866" spans="1:6">
      <c r="A866">
        <v>4103</v>
      </c>
      <c r="B866" t="s">
        <v>1566</v>
      </c>
      <c r="C866">
        <v>75.099999999999994</v>
      </c>
      <c r="D866">
        <f>VLOOKUP(A866,收盤價!A:C,3,0)</f>
        <v>83</v>
      </c>
      <c r="E866" s="188">
        <v>0.10519307589880168</v>
      </c>
      <c r="F866">
        <v>30.37</v>
      </c>
    </row>
    <row r="867" spans="1:6">
      <c r="A867">
        <v>4104</v>
      </c>
      <c r="B867" t="s">
        <v>1184</v>
      </c>
      <c r="C867">
        <v>37</v>
      </c>
      <c r="D867">
        <f>VLOOKUP(A867,收盤價!A:C,3,0)</f>
        <v>49</v>
      </c>
      <c r="E867" s="188">
        <v>0.32432432432432434</v>
      </c>
      <c r="F867">
        <v>75.510000000000005</v>
      </c>
    </row>
    <row r="868" spans="1:6">
      <c r="A868">
        <v>4105</v>
      </c>
      <c r="B868" t="s">
        <v>1567</v>
      </c>
      <c r="C868">
        <v>76.099999999999994</v>
      </c>
      <c r="D868">
        <f>VLOOKUP(A868,收盤價!A:C,3,0)</f>
        <v>87</v>
      </c>
      <c r="E868" s="188">
        <v>0.14323258869908023</v>
      </c>
      <c r="F868">
        <v>39.46</v>
      </c>
    </row>
    <row r="869" spans="1:6">
      <c r="A869">
        <v>4106</v>
      </c>
      <c r="B869" t="s">
        <v>1185</v>
      </c>
      <c r="C869">
        <v>28.3</v>
      </c>
      <c r="D869">
        <f>VLOOKUP(A869,收盤價!A:C,3,0)</f>
        <v>38.6</v>
      </c>
      <c r="E869" s="188">
        <v>0.36395759717314491</v>
      </c>
      <c r="F869">
        <v>80.739999999999995</v>
      </c>
    </row>
    <row r="870" spans="1:6">
      <c r="A870">
        <v>4108</v>
      </c>
      <c r="B870" t="s">
        <v>1186</v>
      </c>
      <c r="C870">
        <v>13.2</v>
      </c>
      <c r="D870">
        <f>VLOOKUP(A870,收盤價!A:C,3,0)</f>
        <v>28.2</v>
      </c>
      <c r="E870" s="188">
        <v>1.1363636363636365</v>
      </c>
      <c r="F870">
        <v>99.12</v>
      </c>
    </row>
    <row r="871" spans="1:6">
      <c r="A871">
        <v>4109</v>
      </c>
      <c r="B871" t="s">
        <v>1569</v>
      </c>
      <c r="C871">
        <v>21.55</v>
      </c>
      <c r="D871">
        <f>VLOOKUP(A871,收盤價!A:C,3,0)</f>
        <v>23.6</v>
      </c>
      <c r="E871" s="188">
        <v>9.5127610208816729E-2</v>
      </c>
      <c r="F871">
        <v>28.54</v>
      </c>
    </row>
    <row r="872" spans="1:6">
      <c r="A872">
        <v>4111</v>
      </c>
      <c r="B872" t="s">
        <v>1570</v>
      </c>
      <c r="C872">
        <v>16.25</v>
      </c>
      <c r="D872">
        <f>VLOOKUP(A872,收盤價!A:C,3,0)</f>
        <v>21.55</v>
      </c>
      <c r="E872" s="188">
        <v>0.32615384615384618</v>
      </c>
      <c r="F872">
        <v>75.760000000000005</v>
      </c>
    </row>
    <row r="873" spans="1:6">
      <c r="A873">
        <v>4113</v>
      </c>
      <c r="B873" t="s">
        <v>367</v>
      </c>
      <c r="C873">
        <v>13.6</v>
      </c>
      <c r="D873">
        <f>VLOOKUP(A873,收盤價!A:C,3,0)</f>
        <v>10.25</v>
      </c>
      <c r="E873" s="188">
        <v>-0.24632352941176469</v>
      </c>
      <c r="F873">
        <v>3.6</v>
      </c>
    </row>
    <row r="874" spans="1:6">
      <c r="A874">
        <v>4114</v>
      </c>
      <c r="B874" t="s">
        <v>1571</v>
      </c>
      <c r="C874">
        <v>26</v>
      </c>
      <c r="D874">
        <f>VLOOKUP(A874,收盤價!A:C,3,0)</f>
        <v>33.299999999999997</v>
      </c>
      <c r="E874" s="188">
        <v>0.28076923076923066</v>
      </c>
      <c r="F874">
        <v>68.75</v>
      </c>
    </row>
    <row r="875" spans="1:6">
      <c r="A875">
        <v>4119</v>
      </c>
      <c r="B875" t="s">
        <v>1187</v>
      </c>
      <c r="C875">
        <v>69.900000000000006</v>
      </c>
      <c r="D875">
        <f>VLOOKUP(A875,收盤價!A:C,3,0)</f>
        <v>78.7</v>
      </c>
      <c r="E875" s="188">
        <v>0.12589413447782541</v>
      </c>
      <c r="F875">
        <v>35.92</v>
      </c>
    </row>
    <row r="876" spans="1:6">
      <c r="A876">
        <v>4120</v>
      </c>
      <c r="B876" t="s">
        <v>368</v>
      </c>
      <c r="C876">
        <v>43.5</v>
      </c>
      <c r="D876">
        <f>VLOOKUP(A876,收盤價!A:C,3,0)</f>
        <v>55.2</v>
      </c>
      <c r="E876" s="188">
        <v>0.26896551724137935</v>
      </c>
      <c r="F876">
        <v>66.349999999999994</v>
      </c>
    </row>
    <row r="877" spans="1:6">
      <c r="A877">
        <v>4121</v>
      </c>
      <c r="B877" t="s">
        <v>1572</v>
      </c>
      <c r="C877">
        <v>7.99</v>
      </c>
      <c r="D877">
        <f>VLOOKUP(A877,收盤價!A:C,3,0)</f>
        <v>11</v>
      </c>
      <c r="E877" s="188">
        <v>0.37672090112640799</v>
      </c>
      <c r="F877">
        <v>82.13</v>
      </c>
    </row>
    <row r="878" spans="1:6">
      <c r="A878">
        <v>4123</v>
      </c>
      <c r="B878" t="s">
        <v>1573</v>
      </c>
      <c r="C878">
        <v>55.2</v>
      </c>
      <c r="D878">
        <f>VLOOKUP(A878,收盤價!A:C,3,0)</f>
        <v>67.599999999999994</v>
      </c>
      <c r="E878" s="188">
        <v>0.22463768115942012</v>
      </c>
      <c r="F878">
        <v>58.52</v>
      </c>
    </row>
    <row r="879" spans="1:6">
      <c r="A879">
        <v>4126</v>
      </c>
      <c r="B879" t="s">
        <v>369</v>
      </c>
      <c r="C879">
        <v>52.8</v>
      </c>
      <c r="D879">
        <f>VLOOKUP(A879,收盤價!A:C,3,0)</f>
        <v>68.7</v>
      </c>
      <c r="E879" s="188">
        <v>0.30113636363636376</v>
      </c>
      <c r="F879">
        <v>71.97</v>
      </c>
    </row>
    <row r="880" spans="1:6">
      <c r="A880">
        <v>4127</v>
      </c>
      <c r="B880" t="s">
        <v>1574</v>
      </c>
      <c r="C880">
        <v>18.100000000000001</v>
      </c>
      <c r="D880">
        <f>VLOOKUP(A880,收盤價!A:C,3,0)</f>
        <v>23.05</v>
      </c>
      <c r="E880" s="188">
        <v>0.27348066298342533</v>
      </c>
      <c r="F880">
        <v>67.3</v>
      </c>
    </row>
    <row r="881" spans="1:6">
      <c r="A881">
        <v>4128</v>
      </c>
      <c r="B881" t="s">
        <v>1575</v>
      </c>
      <c r="C881">
        <v>23.8</v>
      </c>
      <c r="D881">
        <f>VLOOKUP(A881,收盤價!A:C,3,0)</f>
        <v>26</v>
      </c>
      <c r="E881" s="188">
        <v>9.2436974789915929E-2</v>
      </c>
      <c r="F881">
        <v>28.03</v>
      </c>
    </row>
    <row r="882" spans="1:6">
      <c r="A882">
        <v>4129</v>
      </c>
      <c r="B882" t="s">
        <v>1576</v>
      </c>
      <c r="C882">
        <v>47.25</v>
      </c>
      <c r="D882">
        <f>VLOOKUP(A882,收盤價!A:C,3,0)</f>
        <v>75</v>
      </c>
      <c r="E882" s="188">
        <v>0.58730158730158732</v>
      </c>
      <c r="F882">
        <v>93.69</v>
      </c>
    </row>
    <row r="883" spans="1:6">
      <c r="A883">
        <v>4130</v>
      </c>
      <c r="B883" t="s">
        <v>370</v>
      </c>
      <c r="C883">
        <v>28.8</v>
      </c>
      <c r="D883">
        <f>VLOOKUP(A883,收盤價!A:C,3,0)</f>
        <v>43.2</v>
      </c>
      <c r="E883" s="188">
        <v>0.50000000000000011</v>
      </c>
      <c r="F883">
        <v>90.85</v>
      </c>
    </row>
    <row r="884" spans="1:6">
      <c r="A884">
        <v>4131</v>
      </c>
      <c r="B884" t="s">
        <v>1577</v>
      </c>
      <c r="C884">
        <v>7.2</v>
      </c>
      <c r="D884">
        <f>VLOOKUP(A884,收盤價!A:C,3,0)</f>
        <v>8</v>
      </c>
      <c r="E884" s="188">
        <v>0.11111111111111108</v>
      </c>
      <c r="F884">
        <v>31.82</v>
      </c>
    </row>
    <row r="885" spans="1:6">
      <c r="A885">
        <v>4133</v>
      </c>
      <c r="B885" t="s">
        <v>1188</v>
      </c>
      <c r="C885">
        <v>24.3</v>
      </c>
      <c r="D885">
        <f>VLOOKUP(A885,收盤價!A:C,3,0)</f>
        <v>30.1</v>
      </c>
      <c r="E885" s="188">
        <v>0.23868312757201648</v>
      </c>
      <c r="F885">
        <v>61.24</v>
      </c>
    </row>
    <row r="886" spans="1:6">
      <c r="A886">
        <v>4137</v>
      </c>
      <c r="B886" t="s">
        <v>1189</v>
      </c>
      <c r="C886">
        <v>201.5</v>
      </c>
      <c r="D886">
        <f>VLOOKUP(A886,收盤價!A:C,3,0)</f>
        <v>321</v>
      </c>
      <c r="E886" s="188">
        <v>0.59305210918114148</v>
      </c>
      <c r="F886">
        <v>93.75</v>
      </c>
    </row>
    <row r="887" spans="1:6">
      <c r="A887">
        <v>4138</v>
      </c>
      <c r="B887" t="s">
        <v>1578</v>
      </c>
      <c r="C887">
        <v>47.9</v>
      </c>
      <c r="D887">
        <f>VLOOKUP(A887,收盤價!A:C,3,0)</f>
        <v>58.5</v>
      </c>
      <c r="E887" s="188">
        <v>0.221294363256785</v>
      </c>
      <c r="F887">
        <v>57.77</v>
      </c>
    </row>
    <row r="888" spans="1:6">
      <c r="A888">
        <v>4139</v>
      </c>
      <c r="B888" t="s">
        <v>1579</v>
      </c>
      <c r="C888">
        <v>66.8</v>
      </c>
      <c r="D888">
        <f>VLOOKUP(A888,收盤價!A:C,3,0)</f>
        <v>74.5</v>
      </c>
      <c r="E888" s="188">
        <v>0.11526946107784436</v>
      </c>
      <c r="F888">
        <v>33.020000000000003</v>
      </c>
    </row>
    <row r="889" spans="1:6">
      <c r="A889">
        <v>4141</v>
      </c>
      <c r="B889" t="s">
        <v>1190</v>
      </c>
      <c r="C889">
        <v>28.8</v>
      </c>
      <c r="D889">
        <f>VLOOKUP(A889,收盤價!A:C,3,0)</f>
        <v>30.5</v>
      </c>
      <c r="E889" s="188">
        <v>5.9027777777777748E-2</v>
      </c>
      <c r="F889">
        <v>20.83</v>
      </c>
    </row>
    <row r="890" spans="1:6">
      <c r="A890">
        <v>4142</v>
      </c>
      <c r="B890" t="s">
        <v>1191</v>
      </c>
      <c r="C890">
        <v>15.65</v>
      </c>
      <c r="D890">
        <f>VLOOKUP(A890,收盤價!A:C,3,0)</f>
        <v>25.7</v>
      </c>
      <c r="E890" s="188">
        <v>0.64217252396166125</v>
      </c>
      <c r="F890">
        <v>95.33</v>
      </c>
    </row>
    <row r="891" spans="1:6">
      <c r="A891">
        <v>4144</v>
      </c>
      <c r="B891" t="s">
        <v>1192</v>
      </c>
      <c r="C891">
        <v>43.95</v>
      </c>
      <c r="D891">
        <f>VLOOKUP(A891,收盤價!A:C,3,0)</f>
        <v>58.7</v>
      </c>
      <c r="E891" s="188">
        <v>0.33560864618885095</v>
      </c>
      <c r="F891">
        <v>77.209999999999994</v>
      </c>
    </row>
    <row r="892" spans="1:6">
      <c r="A892">
        <v>4152</v>
      </c>
      <c r="B892" t="s">
        <v>371</v>
      </c>
      <c r="C892">
        <v>88.2</v>
      </c>
      <c r="D892">
        <f>VLOOKUP(A892,收盤價!A:C,3,0)</f>
        <v>129.5</v>
      </c>
      <c r="E892" s="188">
        <v>0.4682539682539682</v>
      </c>
      <c r="F892">
        <v>89.33</v>
      </c>
    </row>
    <row r="893" spans="1:6">
      <c r="A893">
        <v>4153</v>
      </c>
      <c r="B893" t="s">
        <v>372</v>
      </c>
      <c r="C893">
        <v>63.7</v>
      </c>
      <c r="D893">
        <f>VLOOKUP(A893,收盤價!A:C,3,0)</f>
        <v>78.5</v>
      </c>
      <c r="E893" s="188">
        <v>0.23233908948194656</v>
      </c>
      <c r="F893">
        <v>60.1</v>
      </c>
    </row>
    <row r="894" spans="1:6">
      <c r="A894">
        <v>4154</v>
      </c>
      <c r="B894" t="s">
        <v>1580</v>
      </c>
      <c r="C894">
        <v>15.75</v>
      </c>
      <c r="D894">
        <f>VLOOKUP(A894,收盤價!A:C,3,0)</f>
        <v>22.7</v>
      </c>
      <c r="E894" s="188">
        <v>0.4412698412698412</v>
      </c>
      <c r="F894">
        <v>87.5</v>
      </c>
    </row>
    <row r="895" spans="1:6">
      <c r="A895">
        <v>4157</v>
      </c>
      <c r="B895" t="s">
        <v>1581</v>
      </c>
      <c r="C895">
        <v>21.95</v>
      </c>
      <c r="D895">
        <f>VLOOKUP(A895,收盤價!A:C,3,0)</f>
        <v>26.6</v>
      </c>
      <c r="E895" s="188">
        <v>0.21184510250569485</v>
      </c>
      <c r="F895">
        <v>55.93</v>
      </c>
    </row>
    <row r="896" spans="1:6">
      <c r="A896">
        <v>4160</v>
      </c>
      <c r="B896" t="s">
        <v>1582</v>
      </c>
      <c r="C896">
        <v>22.8</v>
      </c>
      <c r="D896">
        <f>VLOOKUP(A896,收盤價!A:C,3,0)</f>
        <v>32.85</v>
      </c>
      <c r="E896" s="188">
        <v>0.44078947368421056</v>
      </c>
      <c r="F896">
        <v>87.44</v>
      </c>
    </row>
    <row r="897" spans="1:6">
      <c r="A897">
        <v>4161</v>
      </c>
      <c r="B897" t="s">
        <v>1583</v>
      </c>
      <c r="C897">
        <v>58.1</v>
      </c>
      <c r="D897">
        <f>VLOOKUP(A897,收盤價!A:C,3,0)</f>
        <v>67.099999999999994</v>
      </c>
      <c r="E897" s="188">
        <v>0.15490533562822706</v>
      </c>
      <c r="F897">
        <v>42.17</v>
      </c>
    </row>
    <row r="898" spans="1:6">
      <c r="A898">
        <v>4162</v>
      </c>
      <c r="B898" t="s">
        <v>373</v>
      </c>
      <c r="C898">
        <v>140.5</v>
      </c>
      <c r="D898">
        <f>VLOOKUP(A898,收盤價!A:C,3,0)</f>
        <v>193.5</v>
      </c>
      <c r="E898" s="188">
        <v>0.37722419928825623</v>
      </c>
      <c r="F898">
        <v>82.2</v>
      </c>
    </row>
    <row r="899" spans="1:6">
      <c r="A899">
        <v>4163</v>
      </c>
      <c r="B899" t="s">
        <v>1584</v>
      </c>
      <c r="C899">
        <v>84.9</v>
      </c>
      <c r="D899">
        <f>VLOOKUP(A899,收盤價!A:C,3,0)</f>
        <v>112</v>
      </c>
      <c r="E899" s="188">
        <v>0.31919905771495871</v>
      </c>
      <c r="F899">
        <v>74.81</v>
      </c>
    </row>
    <row r="900" spans="1:6">
      <c r="A900">
        <v>4164</v>
      </c>
      <c r="B900" t="s">
        <v>1193</v>
      </c>
      <c r="C900">
        <v>38.200000000000003</v>
      </c>
      <c r="D900">
        <f>VLOOKUP(A900,收盤價!A:C,3,0)</f>
        <v>63</v>
      </c>
      <c r="E900" s="188">
        <v>0.64921465968586378</v>
      </c>
      <c r="F900">
        <v>95.58</v>
      </c>
    </row>
    <row r="901" spans="1:6">
      <c r="A901">
        <v>4168</v>
      </c>
      <c r="B901" t="s">
        <v>375</v>
      </c>
      <c r="C901">
        <v>27.4</v>
      </c>
      <c r="D901">
        <f>VLOOKUP(A901,收盤價!A:C,3,0)</f>
        <v>45.3</v>
      </c>
      <c r="E901" s="188">
        <v>0.65328467153284675</v>
      </c>
      <c r="F901">
        <v>95.9</v>
      </c>
    </row>
    <row r="902" spans="1:6">
      <c r="A902">
        <v>4171</v>
      </c>
      <c r="B902" t="s">
        <v>1585</v>
      </c>
      <c r="C902">
        <v>24.6</v>
      </c>
      <c r="D902">
        <f>VLOOKUP(A902,收盤價!A:C,3,0)</f>
        <v>37.700000000000003</v>
      </c>
      <c r="E902" s="188">
        <v>0.5325203252032521</v>
      </c>
      <c r="F902">
        <v>92.11</v>
      </c>
    </row>
    <row r="903" spans="1:6">
      <c r="A903">
        <v>4173</v>
      </c>
      <c r="B903" t="s">
        <v>376</v>
      </c>
      <c r="C903">
        <v>28.9</v>
      </c>
      <c r="D903">
        <f>VLOOKUP(A903,收盤價!A:C,3,0)</f>
        <v>27.4</v>
      </c>
      <c r="E903" s="188">
        <v>-5.1903114186851215E-2</v>
      </c>
      <c r="F903">
        <v>7.7</v>
      </c>
    </row>
    <row r="904" spans="1:6">
      <c r="A904">
        <v>4174</v>
      </c>
      <c r="B904" t="s">
        <v>377</v>
      </c>
      <c r="C904">
        <v>262</v>
      </c>
      <c r="D904">
        <f>VLOOKUP(A904,收盤價!A:C,3,0)</f>
        <v>426.5</v>
      </c>
      <c r="E904" s="188">
        <v>0.62786259541984735</v>
      </c>
      <c r="F904">
        <v>95.01</v>
      </c>
    </row>
    <row r="905" spans="1:6">
      <c r="A905">
        <v>4175</v>
      </c>
      <c r="B905" t="s">
        <v>378</v>
      </c>
      <c r="C905">
        <v>72.2</v>
      </c>
      <c r="D905">
        <f>VLOOKUP(A905,收盤價!A:C,3,0)</f>
        <v>74.099999999999994</v>
      </c>
      <c r="E905" s="188">
        <v>2.6315789473684091E-2</v>
      </c>
      <c r="F905">
        <v>15.53</v>
      </c>
    </row>
    <row r="906" spans="1:6">
      <c r="A906">
        <v>4180</v>
      </c>
      <c r="B906" t="s">
        <v>1586</v>
      </c>
      <c r="C906">
        <v>196</v>
      </c>
      <c r="D906">
        <f>VLOOKUP(A906,收盤價!A:C,3,0)</f>
        <v>158</v>
      </c>
      <c r="E906" s="188">
        <v>-0.19387755102040816</v>
      </c>
      <c r="F906">
        <v>3.79</v>
      </c>
    </row>
    <row r="907" spans="1:6">
      <c r="A907">
        <v>4188</v>
      </c>
      <c r="B907" t="s">
        <v>1587</v>
      </c>
      <c r="C907">
        <v>14.7</v>
      </c>
      <c r="D907">
        <f>VLOOKUP(A907,收盤價!A:C,3,0)</f>
        <v>33</v>
      </c>
      <c r="E907" s="188">
        <v>1.2448979591836735</v>
      </c>
      <c r="F907">
        <v>99.37</v>
      </c>
    </row>
    <row r="908" spans="1:6">
      <c r="A908">
        <v>4192</v>
      </c>
      <c r="B908" t="s">
        <v>1588</v>
      </c>
      <c r="C908">
        <v>24.75</v>
      </c>
      <c r="D908">
        <f>VLOOKUP(A908,收盤價!A:C,3,0)</f>
        <v>43.5</v>
      </c>
      <c r="E908" s="188">
        <v>0.75757575757575757</v>
      </c>
      <c r="F908">
        <v>97.29</v>
      </c>
    </row>
    <row r="909" spans="1:6">
      <c r="A909">
        <v>4198</v>
      </c>
      <c r="B909" t="s">
        <v>379</v>
      </c>
      <c r="C909">
        <v>30</v>
      </c>
      <c r="D909">
        <f>VLOOKUP(A909,收盤價!A:C,3,0)</f>
        <v>36.049999999999997</v>
      </c>
      <c r="E909" s="188">
        <v>0.20166666666666658</v>
      </c>
      <c r="F909">
        <v>53.41</v>
      </c>
    </row>
    <row r="910" spans="1:6">
      <c r="A910">
        <v>4205</v>
      </c>
      <c r="B910" t="s">
        <v>1589</v>
      </c>
      <c r="C910">
        <v>35.9</v>
      </c>
      <c r="D910">
        <f>VLOOKUP(A910,收盤價!A:C,3,0)</f>
        <v>38.1</v>
      </c>
      <c r="E910" s="188">
        <v>6.1281337047353841E-2</v>
      </c>
      <c r="F910">
        <v>21.21</v>
      </c>
    </row>
    <row r="911" spans="1:6">
      <c r="A911">
        <v>4207</v>
      </c>
      <c r="B911" t="s">
        <v>1590</v>
      </c>
      <c r="C911">
        <v>8.94</v>
      </c>
      <c r="D911">
        <f>VLOOKUP(A911,收盤價!A:C,3,0)</f>
        <v>9.94</v>
      </c>
      <c r="E911" s="188">
        <v>0.11185682326621925</v>
      </c>
      <c r="F911">
        <v>32.130000000000003</v>
      </c>
    </row>
    <row r="912" spans="1:6">
      <c r="A912">
        <v>4303</v>
      </c>
      <c r="B912" t="s">
        <v>1591</v>
      </c>
      <c r="C912">
        <v>12</v>
      </c>
      <c r="D912">
        <f>VLOOKUP(A912,收盤價!A:C,3,0)</f>
        <v>12.85</v>
      </c>
      <c r="E912" s="188">
        <v>7.0833333333333304E-2</v>
      </c>
      <c r="F912">
        <v>22.29</v>
      </c>
    </row>
    <row r="913" spans="1:6">
      <c r="A913">
        <v>4304</v>
      </c>
      <c r="B913" t="s">
        <v>380</v>
      </c>
      <c r="C913">
        <v>0</v>
      </c>
      <c r="F913">
        <v>0.88</v>
      </c>
    </row>
    <row r="914" spans="1:6">
      <c r="A914">
        <v>4305</v>
      </c>
      <c r="B914" t="s">
        <v>1592</v>
      </c>
      <c r="C914">
        <v>24.4</v>
      </c>
      <c r="D914">
        <f>VLOOKUP(A914,收盤價!A:C,3,0)</f>
        <v>26.4</v>
      </c>
      <c r="E914" s="188">
        <v>8.1967213114754106E-2</v>
      </c>
      <c r="F914">
        <v>25.19</v>
      </c>
    </row>
    <row r="915" spans="1:6">
      <c r="A915">
        <v>4306</v>
      </c>
      <c r="B915" t="s">
        <v>1194</v>
      </c>
      <c r="C915">
        <v>11.8</v>
      </c>
      <c r="D915">
        <f>VLOOKUP(A915,收盤價!A:C,3,0)</f>
        <v>14.3</v>
      </c>
      <c r="E915" s="188">
        <v>0.21186440677966101</v>
      </c>
      <c r="F915">
        <v>56</v>
      </c>
    </row>
    <row r="916" spans="1:6">
      <c r="A916">
        <v>4401</v>
      </c>
      <c r="B916" t="s">
        <v>1593</v>
      </c>
      <c r="C916">
        <v>108.5</v>
      </c>
      <c r="D916">
        <f>VLOOKUP(A916,收盤價!A:C,3,0)</f>
        <v>98.8</v>
      </c>
      <c r="E916" s="188">
        <v>-8.9400921658986207E-2</v>
      </c>
      <c r="F916">
        <v>5.93</v>
      </c>
    </row>
    <row r="917" spans="1:6">
      <c r="A917">
        <v>4402</v>
      </c>
      <c r="B917" t="s">
        <v>381</v>
      </c>
      <c r="C917">
        <v>3.56</v>
      </c>
      <c r="D917">
        <f>VLOOKUP(A917,收盤價!A:C,3,0)</f>
        <v>5.58</v>
      </c>
      <c r="E917" s="188">
        <v>0.56741573033707859</v>
      </c>
      <c r="F917">
        <v>93.12</v>
      </c>
    </row>
    <row r="918" spans="1:6">
      <c r="A918">
        <v>4406</v>
      </c>
      <c r="B918" t="s">
        <v>1594</v>
      </c>
      <c r="C918">
        <v>13.15</v>
      </c>
      <c r="D918">
        <f>VLOOKUP(A918,收盤價!A:C,3,0)</f>
        <v>11.85</v>
      </c>
      <c r="E918" s="188">
        <v>-9.8859315589353666E-2</v>
      </c>
      <c r="F918">
        <v>5.56</v>
      </c>
    </row>
    <row r="919" spans="1:6">
      <c r="A919">
        <v>4413</v>
      </c>
      <c r="B919" t="s">
        <v>1595</v>
      </c>
      <c r="C919">
        <v>0</v>
      </c>
      <c r="F919">
        <v>0.82</v>
      </c>
    </row>
    <row r="920" spans="1:6">
      <c r="A920">
        <v>4414</v>
      </c>
      <c r="B920" t="s">
        <v>1195</v>
      </c>
      <c r="C920">
        <v>15.2</v>
      </c>
      <c r="D920">
        <f>VLOOKUP(A920,收盤價!A:C,3,0)</f>
        <v>18.05</v>
      </c>
      <c r="E920" s="188">
        <v>0.18750000000000011</v>
      </c>
      <c r="F920">
        <v>49.68</v>
      </c>
    </row>
    <row r="921" spans="1:6">
      <c r="A921">
        <v>4415</v>
      </c>
      <c r="B921" t="s">
        <v>1596</v>
      </c>
      <c r="C921">
        <v>13.6</v>
      </c>
      <c r="D921">
        <f>VLOOKUP(A921,收盤價!A:C,3,0)</f>
        <v>20.5</v>
      </c>
      <c r="E921" s="188">
        <v>0.50735294117647067</v>
      </c>
      <c r="F921">
        <v>91.35</v>
      </c>
    </row>
    <row r="922" spans="1:6">
      <c r="A922">
        <v>4416</v>
      </c>
      <c r="B922" t="s">
        <v>382</v>
      </c>
      <c r="C922">
        <v>86.7</v>
      </c>
      <c r="D922">
        <f>VLOOKUP(A922,收盤價!A:C,3,0)</f>
        <v>0</v>
      </c>
      <c r="E922" s="188">
        <v>-1</v>
      </c>
      <c r="F922">
        <v>2.5299999999999998</v>
      </c>
    </row>
    <row r="923" spans="1:6">
      <c r="A923">
        <v>4417</v>
      </c>
      <c r="B923" t="s">
        <v>1597</v>
      </c>
      <c r="C923">
        <v>38.25</v>
      </c>
      <c r="D923">
        <f>VLOOKUP(A923,收盤價!A:C,3,0)</f>
        <v>36.25</v>
      </c>
      <c r="E923" s="188">
        <v>-5.2287581699346407E-2</v>
      </c>
      <c r="F923">
        <v>7.64</v>
      </c>
    </row>
    <row r="924" spans="1:6">
      <c r="A924">
        <v>4419</v>
      </c>
      <c r="B924" t="s">
        <v>1598</v>
      </c>
      <c r="C924">
        <v>4.92</v>
      </c>
      <c r="D924">
        <f>VLOOKUP(A924,收盤價!A:C,3,0)</f>
        <v>7.5</v>
      </c>
      <c r="E924" s="188">
        <v>0.52439024390243905</v>
      </c>
      <c r="F924">
        <v>91.79</v>
      </c>
    </row>
    <row r="925" spans="1:6">
      <c r="A925">
        <v>4420</v>
      </c>
      <c r="B925" t="s">
        <v>1599</v>
      </c>
      <c r="C925">
        <v>39.5</v>
      </c>
      <c r="D925">
        <f>VLOOKUP(A925,收盤價!A:C,3,0)</f>
        <v>55</v>
      </c>
      <c r="E925" s="188">
        <v>0.39240506329113922</v>
      </c>
      <c r="F925">
        <v>83.71</v>
      </c>
    </row>
    <row r="926" spans="1:6">
      <c r="A926">
        <v>4426</v>
      </c>
      <c r="B926" t="s">
        <v>1196</v>
      </c>
      <c r="C926">
        <v>110.5</v>
      </c>
      <c r="D926">
        <f>VLOOKUP(A926,收盤價!A:C,3,0)</f>
        <v>188</v>
      </c>
      <c r="E926" s="188">
        <v>0.70135746606334837</v>
      </c>
      <c r="F926">
        <v>96.46</v>
      </c>
    </row>
    <row r="927" spans="1:6">
      <c r="A927">
        <v>4429</v>
      </c>
      <c r="B927" t="s">
        <v>383</v>
      </c>
      <c r="C927">
        <v>21</v>
      </c>
      <c r="D927">
        <f>VLOOKUP(A927,收盤價!A:C,3,0)</f>
        <v>23.6</v>
      </c>
      <c r="E927" s="188">
        <v>0.12380952380952388</v>
      </c>
      <c r="F927">
        <v>35.42</v>
      </c>
    </row>
    <row r="928" spans="1:6">
      <c r="A928">
        <v>4430</v>
      </c>
      <c r="B928" t="s">
        <v>1600</v>
      </c>
      <c r="C928">
        <v>23.15</v>
      </c>
      <c r="D928">
        <f>VLOOKUP(A928,收盤價!A:C,3,0)</f>
        <v>28.3</v>
      </c>
      <c r="E928" s="188">
        <v>0.22246220302375821</v>
      </c>
      <c r="F928">
        <v>58.02</v>
      </c>
    </row>
    <row r="929" spans="1:6">
      <c r="A929">
        <v>4432</v>
      </c>
      <c r="B929" t="s">
        <v>1601</v>
      </c>
      <c r="C929">
        <v>63.5</v>
      </c>
      <c r="D929">
        <f>VLOOKUP(A929,收盤價!A:C,3,0)</f>
        <v>78.400000000000006</v>
      </c>
      <c r="E929" s="188">
        <v>0.23464566929133868</v>
      </c>
      <c r="F929">
        <v>60.48</v>
      </c>
    </row>
    <row r="930" spans="1:6">
      <c r="A930">
        <v>4433</v>
      </c>
      <c r="B930" t="s">
        <v>1602</v>
      </c>
      <c r="C930">
        <v>41.35</v>
      </c>
      <c r="D930">
        <f>VLOOKUP(A930,收盤價!A:C,3,0)</f>
        <v>39.049999999999997</v>
      </c>
      <c r="E930" s="188">
        <v>-5.5622732769044843E-2</v>
      </c>
      <c r="F930">
        <v>7.45</v>
      </c>
    </row>
    <row r="931" spans="1:6">
      <c r="A931">
        <v>4502</v>
      </c>
      <c r="B931" t="s">
        <v>1603</v>
      </c>
      <c r="C931">
        <v>5.8</v>
      </c>
      <c r="D931" t="e">
        <f>VLOOKUP(A931,收盤價!A:C,3,0)</f>
        <v>#N/A</v>
      </c>
      <c r="F931">
        <v>2.08</v>
      </c>
    </row>
    <row r="932" spans="1:6">
      <c r="A932">
        <v>4503</v>
      </c>
      <c r="B932" t="s">
        <v>384</v>
      </c>
      <c r="C932">
        <v>11.7</v>
      </c>
      <c r="D932">
        <f>VLOOKUP(A932,收盤價!A:C,3,0)</f>
        <v>12.6</v>
      </c>
      <c r="E932" s="188">
        <v>7.6923076923076955E-2</v>
      </c>
      <c r="F932">
        <v>23.99</v>
      </c>
    </row>
    <row r="933" spans="1:6">
      <c r="A933">
        <v>4506</v>
      </c>
      <c r="B933" t="s">
        <v>385</v>
      </c>
      <c r="C933">
        <v>23.1</v>
      </c>
      <c r="D933">
        <f>VLOOKUP(A933,收盤價!A:C,3,0)</f>
        <v>29.6</v>
      </c>
      <c r="E933" s="188">
        <v>0.28138528138528135</v>
      </c>
      <c r="F933">
        <v>68.94</v>
      </c>
    </row>
    <row r="934" spans="1:6">
      <c r="A934">
        <v>4510</v>
      </c>
      <c r="B934" t="s">
        <v>1604</v>
      </c>
      <c r="C934">
        <v>14.2</v>
      </c>
      <c r="D934">
        <f>VLOOKUP(A934,收盤價!A:C,3,0)</f>
        <v>16.600000000000001</v>
      </c>
      <c r="E934" s="188">
        <v>0.16901408450704242</v>
      </c>
      <c r="F934">
        <v>45.14</v>
      </c>
    </row>
    <row r="935" spans="1:6">
      <c r="A935">
        <v>4513</v>
      </c>
      <c r="B935" t="s">
        <v>1605</v>
      </c>
      <c r="C935">
        <v>8.81</v>
      </c>
      <c r="D935">
        <f>VLOOKUP(A935,收盤價!A:C,3,0)</f>
        <v>10.9</v>
      </c>
      <c r="E935" s="188">
        <v>0.23723041997729849</v>
      </c>
      <c r="F935">
        <v>61.05</v>
      </c>
    </row>
    <row r="936" spans="1:6">
      <c r="A936">
        <v>4523</v>
      </c>
      <c r="B936" t="s">
        <v>1606</v>
      </c>
      <c r="C936">
        <v>15.85</v>
      </c>
      <c r="D936">
        <f>VLOOKUP(A936,收盤價!A:C,3,0)</f>
        <v>19.149999999999999</v>
      </c>
      <c r="E936" s="188">
        <v>0.20820189274447942</v>
      </c>
      <c r="F936">
        <v>54.55</v>
      </c>
    </row>
    <row r="937" spans="1:6">
      <c r="A937">
        <v>4526</v>
      </c>
      <c r="B937" t="s">
        <v>1197</v>
      </c>
      <c r="C937">
        <v>20.3</v>
      </c>
      <c r="D937">
        <f>VLOOKUP(A937,收盤價!A:C,3,0)</f>
        <v>23.9</v>
      </c>
      <c r="E937" s="188">
        <v>0.17733990147783241</v>
      </c>
      <c r="F937">
        <v>47.47</v>
      </c>
    </row>
    <row r="938" spans="1:6">
      <c r="A938">
        <v>4527</v>
      </c>
      <c r="B938" t="s">
        <v>1607</v>
      </c>
      <c r="C938">
        <v>18.850000000000001</v>
      </c>
      <c r="D938">
        <f>VLOOKUP(A938,收盤價!A:C,3,0)</f>
        <v>22.55</v>
      </c>
      <c r="E938" s="188">
        <v>0.19628647214854106</v>
      </c>
      <c r="F938">
        <v>52.02</v>
      </c>
    </row>
    <row r="939" spans="1:6">
      <c r="A939">
        <v>4528</v>
      </c>
      <c r="B939" t="s">
        <v>1608</v>
      </c>
      <c r="C939">
        <v>53.9</v>
      </c>
      <c r="D939">
        <f>VLOOKUP(A939,收盤價!A:C,3,0)</f>
        <v>65.099999999999994</v>
      </c>
      <c r="E939" s="188">
        <v>0.20779220779220772</v>
      </c>
      <c r="F939">
        <v>54.36</v>
      </c>
    </row>
    <row r="940" spans="1:6">
      <c r="A940">
        <v>4529</v>
      </c>
      <c r="B940" t="s">
        <v>1609</v>
      </c>
      <c r="C940">
        <v>10.65</v>
      </c>
      <c r="D940">
        <f>VLOOKUP(A940,收盤價!A:C,3,0)</f>
        <v>53.5</v>
      </c>
      <c r="E940" s="188">
        <v>4.023474178403756</v>
      </c>
      <c r="F940">
        <v>99.87</v>
      </c>
    </row>
    <row r="941" spans="1:6">
      <c r="A941">
        <v>4530</v>
      </c>
      <c r="B941" t="s">
        <v>1610</v>
      </c>
      <c r="C941">
        <v>3.9</v>
      </c>
      <c r="D941">
        <f>VLOOKUP(A941,收盤價!A:C,3,0)</f>
        <v>3.85</v>
      </c>
      <c r="E941" s="188">
        <v>-1.2820512820512775E-2</v>
      </c>
      <c r="F941">
        <v>10.73</v>
      </c>
    </row>
    <row r="942" spans="1:6">
      <c r="A942">
        <v>4532</v>
      </c>
      <c r="B942" t="s">
        <v>1198</v>
      </c>
      <c r="C942">
        <v>20.149999999999999</v>
      </c>
      <c r="D942">
        <f>VLOOKUP(A942,收盤價!A:C,3,0)</f>
        <v>22.75</v>
      </c>
      <c r="E942" s="188">
        <v>0.12903225806451621</v>
      </c>
      <c r="F942">
        <v>36.49</v>
      </c>
    </row>
    <row r="943" spans="1:6">
      <c r="A943">
        <v>4533</v>
      </c>
      <c r="B943" t="s">
        <v>1611</v>
      </c>
      <c r="C943">
        <v>10</v>
      </c>
      <c r="D943">
        <f>VLOOKUP(A943,收盤價!A:C,3,0)</f>
        <v>11.55</v>
      </c>
      <c r="E943" s="188">
        <v>0.15500000000000008</v>
      </c>
      <c r="F943">
        <v>42.23</v>
      </c>
    </row>
    <row r="944" spans="1:6">
      <c r="A944">
        <v>4534</v>
      </c>
      <c r="B944" t="s">
        <v>1612</v>
      </c>
      <c r="C944">
        <v>10.6</v>
      </c>
      <c r="D944">
        <f>VLOOKUP(A944,收盤價!A:C,3,0)</f>
        <v>10.4</v>
      </c>
      <c r="E944" s="188">
        <v>-1.886792452830182E-2</v>
      </c>
      <c r="F944">
        <v>10.23</v>
      </c>
    </row>
    <row r="945" spans="1:6">
      <c r="A945">
        <v>4535</v>
      </c>
      <c r="B945" t="s">
        <v>1613</v>
      </c>
      <c r="C945">
        <v>44.7</v>
      </c>
      <c r="D945">
        <f>VLOOKUP(A945,收盤價!A:C,3,0)</f>
        <v>44.7</v>
      </c>
      <c r="E945" s="188">
        <v>0</v>
      </c>
      <c r="F945">
        <v>12.25</v>
      </c>
    </row>
    <row r="946" spans="1:6">
      <c r="A946">
        <v>4536</v>
      </c>
      <c r="B946" t="s">
        <v>1199</v>
      </c>
      <c r="C946">
        <v>116.5</v>
      </c>
      <c r="D946">
        <f>VLOOKUP(A946,收盤價!A:C,3,0)</f>
        <v>122</v>
      </c>
      <c r="E946" s="188">
        <v>4.7210300429184553E-2</v>
      </c>
      <c r="F946">
        <v>18.559999999999999</v>
      </c>
    </row>
    <row r="947" spans="1:6">
      <c r="A947">
        <v>4541</v>
      </c>
      <c r="B947" t="s">
        <v>1614</v>
      </c>
      <c r="C947">
        <v>26.3</v>
      </c>
      <c r="D947">
        <f>VLOOKUP(A947,收盤價!A:C,3,0)</f>
        <v>30.4</v>
      </c>
      <c r="E947" s="188">
        <v>0.15589353612167292</v>
      </c>
      <c r="F947">
        <v>42.61</v>
      </c>
    </row>
    <row r="948" spans="1:6">
      <c r="A948">
        <v>4542</v>
      </c>
      <c r="B948" t="s">
        <v>386</v>
      </c>
      <c r="C948">
        <v>16.649999999999999</v>
      </c>
      <c r="D948">
        <f>VLOOKUP(A948,收盤價!A:C,3,0)</f>
        <v>20.85</v>
      </c>
      <c r="E948" s="188">
        <v>0.25225225225225245</v>
      </c>
      <c r="F948">
        <v>63.51</v>
      </c>
    </row>
    <row r="949" spans="1:6">
      <c r="A949">
        <v>4549</v>
      </c>
      <c r="B949" t="s">
        <v>387</v>
      </c>
      <c r="C949">
        <v>82.8</v>
      </c>
      <c r="D949">
        <f>VLOOKUP(A949,收盤價!A:C,3,0)</f>
        <v>73.400000000000006</v>
      </c>
      <c r="E949" s="188">
        <v>-0.11352657004830909</v>
      </c>
      <c r="F949">
        <v>4.8600000000000003</v>
      </c>
    </row>
    <row r="950" spans="1:6">
      <c r="A950">
        <v>4550</v>
      </c>
      <c r="B950" t="s">
        <v>388</v>
      </c>
      <c r="C950">
        <v>18.25</v>
      </c>
      <c r="D950">
        <f>VLOOKUP(A950,收盤價!A:C,3,0)</f>
        <v>22.45</v>
      </c>
      <c r="E950" s="188">
        <v>0.23013698630136983</v>
      </c>
      <c r="F950">
        <v>59.53</v>
      </c>
    </row>
    <row r="951" spans="1:6">
      <c r="A951">
        <v>4551</v>
      </c>
      <c r="B951" t="s">
        <v>1200</v>
      </c>
      <c r="C951">
        <v>52</v>
      </c>
      <c r="D951">
        <f>VLOOKUP(A951,收盤價!A:C,3,0)</f>
        <v>68.3</v>
      </c>
      <c r="E951" s="188">
        <v>0.3134615384615384</v>
      </c>
      <c r="F951">
        <v>74.05</v>
      </c>
    </row>
    <row r="952" spans="1:6">
      <c r="A952">
        <v>4609</v>
      </c>
      <c r="B952" t="s">
        <v>1615</v>
      </c>
      <c r="C952">
        <v>6.5</v>
      </c>
      <c r="D952">
        <f>VLOOKUP(A952,收盤價!A:C,3,0)</f>
        <v>9.99</v>
      </c>
      <c r="E952" s="188">
        <v>0.53692307692307695</v>
      </c>
      <c r="F952">
        <v>92.3</v>
      </c>
    </row>
    <row r="953" spans="1:6">
      <c r="A953">
        <v>4702</v>
      </c>
      <c r="B953" t="s">
        <v>389</v>
      </c>
      <c r="C953">
        <v>9</v>
      </c>
      <c r="D953">
        <f>VLOOKUP(A953,收盤價!A:C,3,0)</f>
        <v>12.55</v>
      </c>
      <c r="E953" s="188">
        <v>0.39444444444444454</v>
      </c>
      <c r="F953">
        <v>83.84</v>
      </c>
    </row>
    <row r="954" spans="1:6">
      <c r="A954">
        <v>4706</v>
      </c>
      <c r="B954" t="s">
        <v>1616</v>
      </c>
      <c r="C954">
        <v>13.1</v>
      </c>
      <c r="D954">
        <f>VLOOKUP(A954,收盤價!A:C,3,0)</f>
        <v>15.25</v>
      </c>
      <c r="E954" s="188">
        <v>0.16412213740458018</v>
      </c>
      <c r="F954">
        <v>44.19</v>
      </c>
    </row>
    <row r="955" spans="1:6">
      <c r="A955">
        <v>4707</v>
      </c>
      <c r="B955" t="s">
        <v>390</v>
      </c>
      <c r="C955">
        <v>7.3</v>
      </c>
      <c r="D955">
        <f>VLOOKUP(A955,收盤價!A:C,3,0)</f>
        <v>8.5299999999999994</v>
      </c>
      <c r="E955" s="188">
        <v>0.16849315068493145</v>
      </c>
      <c r="F955">
        <v>45.08</v>
      </c>
    </row>
    <row r="956" spans="1:6">
      <c r="A956">
        <v>4711</v>
      </c>
      <c r="B956" t="s">
        <v>1617</v>
      </c>
      <c r="C956">
        <v>10.8</v>
      </c>
      <c r="D956">
        <f>VLOOKUP(A956,收盤價!A:C,3,0)</f>
        <v>11.7</v>
      </c>
      <c r="E956" s="188">
        <v>8.333333333333319E-2</v>
      </c>
      <c r="F956">
        <v>25.63</v>
      </c>
    </row>
    <row r="957" spans="1:6">
      <c r="A957">
        <v>4712</v>
      </c>
      <c r="B957" t="s">
        <v>391</v>
      </c>
      <c r="C957">
        <v>7.05</v>
      </c>
      <c r="D957">
        <f>VLOOKUP(A957,收盤價!A:C,3,0)</f>
        <v>7.83</v>
      </c>
      <c r="E957" s="188">
        <v>0.11063829787234046</v>
      </c>
      <c r="F957">
        <v>31.63</v>
      </c>
    </row>
    <row r="958" spans="1:6">
      <c r="A958">
        <v>4714</v>
      </c>
      <c r="B958" t="s">
        <v>392</v>
      </c>
      <c r="C958">
        <v>7.44</v>
      </c>
      <c r="D958">
        <f>VLOOKUP(A958,收盤價!A:C,3,0)</f>
        <v>8.5</v>
      </c>
      <c r="E958" s="188">
        <v>0.14247311827956982</v>
      </c>
      <c r="F958">
        <v>39.020000000000003</v>
      </c>
    </row>
    <row r="959" spans="1:6">
      <c r="A959">
        <v>4716</v>
      </c>
      <c r="B959" t="s">
        <v>1618</v>
      </c>
      <c r="C959">
        <v>8.8000000000000007</v>
      </c>
      <c r="D959">
        <f>VLOOKUP(A959,收盤價!A:C,3,0)</f>
        <v>10.65</v>
      </c>
      <c r="E959" s="188">
        <v>0.21022727272727268</v>
      </c>
      <c r="F959">
        <v>55.24</v>
      </c>
    </row>
    <row r="960" spans="1:6">
      <c r="A960">
        <v>4720</v>
      </c>
      <c r="B960" t="s">
        <v>1202</v>
      </c>
      <c r="C960">
        <v>14.4</v>
      </c>
      <c r="D960">
        <f>VLOOKUP(A960,收盤價!A:C,3,0)</f>
        <v>15.5</v>
      </c>
      <c r="E960" s="188">
        <v>7.6388888888888867E-2</v>
      </c>
      <c r="F960">
        <v>23.93</v>
      </c>
    </row>
    <row r="961" spans="1:6">
      <c r="A961">
        <v>4721</v>
      </c>
      <c r="B961" t="s">
        <v>393</v>
      </c>
      <c r="C961">
        <v>16.600000000000001</v>
      </c>
      <c r="D961">
        <f>VLOOKUP(A961,收盤價!A:C,3,0)</f>
        <v>23.75</v>
      </c>
      <c r="E961" s="188">
        <v>0.43072289156626492</v>
      </c>
      <c r="F961">
        <v>86.55</v>
      </c>
    </row>
    <row r="962" spans="1:6">
      <c r="A962">
        <v>4722</v>
      </c>
      <c r="B962" t="s">
        <v>1203</v>
      </c>
      <c r="C962">
        <v>25.5</v>
      </c>
      <c r="D962">
        <f>VLOOKUP(A962,收盤價!A:C,3,0)</f>
        <v>31.7</v>
      </c>
      <c r="E962" s="188">
        <v>0.24313725490196075</v>
      </c>
      <c r="F962">
        <v>61.99</v>
      </c>
    </row>
    <row r="963" spans="1:6">
      <c r="A963">
        <v>4725</v>
      </c>
      <c r="B963" t="s">
        <v>1204</v>
      </c>
      <c r="C963">
        <v>10.75</v>
      </c>
      <c r="D963">
        <f>VLOOKUP(A963,收盤價!A:C,3,0)</f>
        <v>16.2</v>
      </c>
      <c r="E963" s="188">
        <v>0.50697674418604644</v>
      </c>
      <c r="F963">
        <v>91.29</v>
      </c>
    </row>
    <row r="964" spans="1:6">
      <c r="A964">
        <v>4726</v>
      </c>
      <c r="B964" t="s">
        <v>1619</v>
      </c>
      <c r="C964">
        <v>23.45</v>
      </c>
      <c r="D964">
        <f>VLOOKUP(A964,收盤價!A:C,3,0)</f>
        <v>41.7</v>
      </c>
      <c r="E964" s="188">
        <v>0.77825159914712172</v>
      </c>
      <c r="F964">
        <v>97.41</v>
      </c>
    </row>
    <row r="965" spans="1:6">
      <c r="A965">
        <v>4728</v>
      </c>
      <c r="B965" t="s">
        <v>394</v>
      </c>
      <c r="C965">
        <v>23.3</v>
      </c>
      <c r="D965">
        <f>VLOOKUP(A965,收盤價!A:C,3,0)</f>
        <v>27.7</v>
      </c>
      <c r="E965" s="188">
        <v>0.18884120171673813</v>
      </c>
      <c r="F965">
        <v>50.38</v>
      </c>
    </row>
    <row r="966" spans="1:6">
      <c r="A966">
        <v>4729</v>
      </c>
      <c r="B966" t="s">
        <v>395</v>
      </c>
      <c r="C966">
        <v>10.45</v>
      </c>
      <c r="D966">
        <f>VLOOKUP(A966,收盤價!A:C,3,0)</f>
        <v>12.85</v>
      </c>
      <c r="E966" s="188">
        <v>0.22966507177033499</v>
      </c>
      <c r="F966">
        <v>59.41</v>
      </c>
    </row>
    <row r="967" spans="1:6">
      <c r="A967">
        <v>4733</v>
      </c>
      <c r="B967" t="s">
        <v>1205</v>
      </c>
      <c r="C967">
        <v>162</v>
      </c>
      <c r="D967">
        <f>VLOOKUP(A967,收盤價!A:C,3,0)</f>
        <v>206</v>
      </c>
      <c r="E967" s="188">
        <v>0.27160493827160492</v>
      </c>
      <c r="F967">
        <v>66.73</v>
      </c>
    </row>
    <row r="968" spans="1:6">
      <c r="A968">
        <v>4735</v>
      </c>
      <c r="B968" t="s">
        <v>1620</v>
      </c>
      <c r="C968">
        <v>17.600000000000001</v>
      </c>
      <c r="D968">
        <f>VLOOKUP(A968,收盤價!A:C,3,0)</f>
        <v>22.9</v>
      </c>
      <c r="E968" s="188">
        <v>0.30113636363636342</v>
      </c>
      <c r="F968">
        <v>71.91</v>
      </c>
    </row>
    <row r="969" spans="1:6">
      <c r="A969">
        <v>4736</v>
      </c>
      <c r="B969" t="s">
        <v>396</v>
      </c>
      <c r="C969">
        <v>64.5</v>
      </c>
      <c r="D969">
        <f>VLOOKUP(A969,收盤價!A:C,3,0)</f>
        <v>94</v>
      </c>
      <c r="E969" s="188">
        <v>0.4573643410852713</v>
      </c>
      <c r="F969">
        <v>88.64</v>
      </c>
    </row>
    <row r="970" spans="1:6">
      <c r="A970">
        <v>4737</v>
      </c>
      <c r="B970" t="s">
        <v>1206</v>
      </c>
      <c r="C970">
        <v>42.8</v>
      </c>
      <c r="D970">
        <f>VLOOKUP(A970,收盤價!A:C,3,0)</f>
        <v>54</v>
      </c>
      <c r="E970" s="188">
        <v>0.26168224299065429</v>
      </c>
      <c r="F970">
        <v>65.47</v>
      </c>
    </row>
    <row r="971" spans="1:6">
      <c r="A971">
        <v>4739</v>
      </c>
      <c r="B971" t="s">
        <v>1621</v>
      </c>
      <c r="C971">
        <v>34.950000000000003</v>
      </c>
      <c r="D971">
        <f>VLOOKUP(A971,收盤價!A:C,3,0)</f>
        <v>40.200000000000003</v>
      </c>
      <c r="E971" s="188">
        <v>0.15021459227467809</v>
      </c>
      <c r="F971">
        <v>41.29</v>
      </c>
    </row>
    <row r="972" spans="1:6">
      <c r="A972">
        <v>4743</v>
      </c>
      <c r="B972" t="s">
        <v>1622</v>
      </c>
      <c r="C972">
        <v>25.5</v>
      </c>
      <c r="D972">
        <f>VLOOKUP(A972,收盤價!A:C,3,0)</f>
        <v>34.6</v>
      </c>
      <c r="E972" s="188">
        <v>0.35686274509803928</v>
      </c>
      <c r="F972">
        <v>79.73</v>
      </c>
    </row>
    <row r="973" spans="1:6">
      <c r="A973">
        <v>4745</v>
      </c>
      <c r="B973" t="s">
        <v>1623</v>
      </c>
      <c r="C973">
        <v>44.6</v>
      </c>
      <c r="D973">
        <f>VLOOKUP(A973,收盤價!A:C,3,0)</f>
        <v>66.7</v>
      </c>
      <c r="E973" s="188">
        <v>0.49551569506726462</v>
      </c>
      <c r="F973">
        <v>90.53</v>
      </c>
    </row>
    <row r="974" spans="1:6">
      <c r="A974">
        <v>4746</v>
      </c>
      <c r="B974" t="s">
        <v>1207</v>
      </c>
      <c r="C974">
        <v>52.7</v>
      </c>
      <c r="D974">
        <f>VLOOKUP(A974,收盤價!A:C,3,0)</f>
        <v>59.7</v>
      </c>
      <c r="E974" s="188">
        <v>0.13282732447817835</v>
      </c>
      <c r="F974">
        <v>37.369999999999997</v>
      </c>
    </row>
    <row r="975" spans="1:6">
      <c r="A975">
        <v>4747</v>
      </c>
      <c r="B975" t="s">
        <v>1624</v>
      </c>
      <c r="C975">
        <v>33.450000000000003</v>
      </c>
      <c r="D975">
        <f>VLOOKUP(A975,收盤價!A:C,3,0)</f>
        <v>39.6</v>
      </c>
      <c r="E975" s="188">
        <v>0.18385650224215241</v>
      </c>
      <c r="F975">
        <v>49.37</v>
      </c>
    </row>
    <row r="976" spans="1:6">
      <c r="A976">
        <v>4755</v>
      </c>
      <c r="B976" t="s">
        <v>1208</v>
      </c>
      <c r="C976">
        <v>19</v>
      </c>
      <c r="D976">
        <f>VLOOKUP(A976,收盤價!A:C,3,0)</f>
        <v>23.9</v>
      </c>
      <c r="E976" s="188">
        <v>0.25789473684210518</v>
      </c>
      <c r="F976">
        <v>64.709999999999994</v>
      </c>
    </row>
    <row r="977" spans="1:6">
      <c r="A977">
        <v>4903</v>
      </c>
      <c r="B977" t="s">
        <v>1625</v>
      </c>
      <c r="C977">
        <v>8.91</v>
      </c>
      <c r="D977">
        <f>VLOOKUP(A977,收盤價!A:C,3,0)</f>
        <v>9.82</v>
      </c>
      <c r="E977" s="188">
        <v>0.10213243546576882</v>
      </c>
      <c r="F977">
        <v>29.8</v>
      </c>
    </row>
    <row r="978" spans="1:6">
      <c r="A978">
        <v>4904</v>
      </c>
      <c r="B978" t="s">
        <v>1209</v>
      </c>
      <c r="C978">
        <v>71</v>
      </c>
      <c r="D978">
        <f>VLOOKUP(A978,收盤價!A:C,3,0)</f>
        <v>69</v>
      </c>
      <c r="E978" s="188">
        <v>-2.8169014084507043E-2</v>
      </c>
      <c r="F978">
        <v>9.4700000000000006</v>
      </c>
    </row>
    <row r="979" spans="1:6">
      <c r="A979">
        <v>4905</v>
      </c>
      <c r="B979" t="s">
        <v>1626</v>
      </c>
      <c r="C979">
        <v>31.5</v>
      </c>
      <c r="D979">
        <f>VLOOKUP(A979,收盤價!A:C,3,0)</f>
        <v>41</v>
      </c>
      <c r="E979" s="188">
        <v>0.30158730158730157</v>
      </c>
      <c r="F979">
        <v>72.03</v>
      </c>
    </row>
    <row r="980" spans="1:6">
      <c r="A980">
        <v>4906</v>
      </c>
      <c r="B980" t="s">
        <v>1210</v>
      </c>
      <c r="C980">
        <v>11.85</v>
      </c>
      <c r="D980">
        <f>VLOOKUP(A980,收盤價!A:C,3,0)</f>
        <v>15.65</v>
      </c>
      <c r="E980" s="188">
        <v>0.32067510548523215</v>
      </c>
      <c r="F980">
        <v>74.87</v>
      </c>
    </row>
    <row r="981" spans="1:6">
      <c r="A981">
        <v>4907</v>
      </c>
      <c r="B981" t="s">
        <v>1627</v>
      </c>
      <c r="C981">
        <v>12.7</v>
      </c>
      <c r="D981">
        <f>VLOOKUP(A981,收盤價!A:C,3,0)</f>
        <v>0</v>
      </c>
      <c r="E981" s="188">
        <v>-1</v>
      </c>
      <c r="F981">
        <v>2.78</v>
      </c>
    </row>
    <row r="982" spans="1:6">
      <c r="A982">
        <v>4908</v>
      </c>
      <c r="B982" t="s">
        <v>1628</v>
      </c>
      <c r="C982">
        <v>16.05</v>
      </c>
      <c r="D982">
        <f>VLOOKUP(A982,收盤價!A:C,3,0)</f>
        <v>20</v>
      </c>
      <c r="E982" s="188">
        <v>0.24610591900311521</v>
      </c>
      <c r="F982">
        <v>62.56</v>
      </c>
    </row>
    <row r="983" spans="1:6">
      <c r="A983">
        <v>4909</v>
      </c>
      <c r="B983" t="s">
        <v>397</v>
      </c>
      <c r="C983">
        <v>16.3</v>
      </c>
      <c r="D983">
        <f>VLOOKUP(A983,收盤價!A:C,3,0)</f>
        <v>20.85</v>
      </c>
      <c r="E983" s="188">
        <v>0.27914110429447858</v>
      </c>
      <c r="F983">
        <v>68.430000000000007</v>
      </c>
    </row>
    <row r="984" spans="1:6">
      <c r="A984">
        <v>4911</v>
      </c>
      <c r="B984" t="s">
        <v>398</v>
      </c>
      <c r="C984">
        <v>61.6</v>
      </c>
      <c r="D984">
        <f>VLOOKUP(A984,收盤價!A:C,3,0)</f>
        <v>83.3</v>
      </c>
      <c r="E984" s="188">
        <v>0.35227272727272718</v>
      </c>
      <c r="F984">
        <v>79.23</v>
      </c>
    </row>
    <row r="985" spans="1:6">
      <c r="A985">
        <v>4912</v>
      </c>
      <c r="B985" t="s">
        <v>1211</v>
      </c>
      <c r="C985">
        <v>61</v>
      </c>
      <c r="D985">
        <f>VLOOKUP(A985,收盤價!A:C,3,0)</f>
        <v>82.8</v>
      </c>
      <c r="E985" s="188">
        <v>0.35737704918032781</v>
      </c>
      <c r="F985">
        <v>79.92</v>
      </c>
    </row>
    <row r="986" spans="1:6">
      <c r="A986">
        <v>4915</v>
      </c>
      <c r="B986" t="s">
        <v>1212</v>
      </c>
      <c r="C986">
        <v>34.5</v>
      </c>
      <c r="D986">
        <f>VLOOKUP(A986,收盤價!A:C,3,0)</f>
        <v>42.65</v>
      </c>
      <c r="E986" s="188">
        <v>0.23623188405797096</v>
      </c>
      <c r="F986">
        <v>60.73</v>
      </c>
    </row>
    <row r="987" spans="1:6">
      <c r="A987">
        <v>4916</v>
      </c>
      <c r="B987" t="s">
        <v>1213</v>
      </c>
      <c r="C987">
        <v>12.3</v>
      </c>
      <c r="D987">
        <f>VLOOKUP(A987,收盤價!A:C,3,0)</f>
        <v>22.5</v>
      </c>
      <c r="E987" s="188">
        <v>0.82926829268292668</v>
      </c>
      <c r="F987">
        <v>97.92</v>
      </c>
    </row>
    <row r="988" spans="1:6">
      <c r="A988">
        <v>4919</v>
      </c>
      <c r="B988" t="s">
        <v>1214</v>
      </c>
      <c r="C988">
        <v>19.55</v>
      </c>
      <c r="D988">
        <f>VLOOKUP(A988,收盤價!A:C,3,0)</f>
        <v>28.45</v>
      </c>
      <c r="E988" s="188">
        <v>0.45524296675191805</v>
      </c>
      <c r="F988">
        <v>88.45</v>
      </c>
    </row>
    <row r="989" spans="1:6">
      <c r="A989">
        <v>4924</v>
      </c>
      <c r="B989" t="s">
        <v>1629</v>
      </c>
      <c r="C989">
        <v>7.17</v>
      </c>
      <c r="D989">
        <f>VLOOKUP(A989,收盤價!A:C,3,0)</f>
        <v>6.84</v>
      </c>
      <c r="E989" s="188">
        <v>-4.6025104602510469E-2</v>
      </c>
      <c r="F989">
        <v>8.27</v>
      </c>
    </row>
    <row r="990" spans="1:6">
      <c r="A990">
        <v>4927</v>
      </c>
      <c r="B990" t="s">
        <v>1865</v>
      </c>
      <c r="C990">
        <v>32.65</v>
      </c>
      <c r="D990">
        <f>VLOOKUP(A990,收盤價!A:C,3,0)</f>
        <v>40.950000000000003</v>
      </c>
      <c r="E990" s="188">
        <v>0.25421133231240445</v>
      </c>
      <c r="F990">
        <v>63.76</v>
      </c>
    </row>
    <row r="991" spans="1:6">
      <c r="A991">
        <v>4930</v>
      </c>
      <c r="B991" t="s">
        <v>1216</v>
      </c>
      <c r="C991">
        <v>11.5</v>
      </c>
      <c r="D991">
        <f>VLOOKUP(A991,收盤價!A:C,3,0)</f>
        <v>16.5</v>
      </c>
      <c r="E991" s="188">
        <v>0.43478260869565216</v>
      </c>
      <c r="F991">
        <v>86.93</v>
      </c>
    </row>
    <row r="992" spans="1:6">
      <c r="A992">
        <v>4933</v>
      </c>
      <c r="B992" t="s">
        <v>399</v>
      </c>
      <c r="C992">
        <v>18.899999999999999</v>
      </c>
      <c r="D992">
        <f>VLOOKUP(A992,收盤價!A:C,3,0)</f>
        <v>24.45</v>
      </c>
      <c r="E992" s="188">
        <v>0.29365079365079372</v>
      </c>
      <c r="F992">
        <v>70.709999999999994</v>
      </c>
    </row>
    <row r="993" spans="1:6">
      <c r="A993">
        <v>4934</v>
      </c>
      <c r="B993" t="s">
        <v>1217</v>
      </c>
      <c r="C993">
        <v>10.85</v>
      </c>
      <c r="D993">
        <f>VLOOKUP(A993,收盤價!A:C,3,0)</f>
        <v>17.55</v>
      </c>
      <c r="E993" s="188">
        <v>0.61751152073732729</v>
      </c>
      <c r="F993">
        <v>94.63</v>
      </c>
    </row>
    <row r="994" spans="1:6">
      <c r="A994">
        <v>4935</v>
      </c>
      <c r="B994" t="s">
        <v>1218</v>
      </c>
      <c r="C994">
        <v>33.049999999999997</v>
      </c>
      <c r="D994">
        <f>VLOOKUP(A994,收盤價!A:C,3,0)</f>
        <v>61.2</v>
      </c>
      <c r="E994" s="188">
        <v>0.85173978819969764</v>
      </c>
      <c r="F994">
        <v>98.17</v>
      </c>
    </row>
    <row r="995" spans="1:6">
      <c r="A995">
        <v>4938</v>
      </c>
      <c r="B995" t="s">
        <v>1219</v>
      </c>
      <c r="C995">
        <v>74.8</v>
      </c>
      <c r="D995">
        <f>VLOOKUP(A995,收盤價!A:C,3,0)</f>
        <v>83.1</v>
      </c>
      <c r="E995" s="188">
        <v>0.11096256684491976</v>
      </c>
      <c r="F995">
        <v>31.76</v>
      </c>
    </row>
    <row r="996" spans="1:6">
      <c r="A996">
        <v>4939</v>
      </c>
      <c r="B996" t="s">
        <v>400</v>
      </c>
      <c r="C996">
        <v>6.53</v>
      </c>
      <c r="D996">
        <f>VLOOKUP(A996,收盤價!A:C,3,0)</f>
        <v>7.8</v>
      </c>
      <c r="E996" s="188">
        <v>0.19448698315467067</v>
      </c>
      <c r="F996">
        <v>51.58</v>
      </c>
    </row>
    <row r="997" spans="1:6">
      <c r="A997">
        <v>4942</v>
      </c>
      <c r="B997" t="s">
        <v>1220</v>
      </c>
      <c r="C997">
        <v>18.2</v>
      </c>
      <c r="D997">
        <f>VLOOKUP(A997,收盤價!A:C,3,0)</f>
        <v>24</v>
      </c>
      <c r="E997" s="188">
        <v>0.31868131868131871</v>
      </c>
      <c r="F997">
        <v>74.680000000000007</v>
      </c>
    </row>
    <row r="998" spans="1:6">
      <c r="A998">
        <v>4944</v>
      </c>
      <c r="B998" t="s">
        <v>1630</v>
      </c>
      <c r="C998">
        <v>8.59</v>
      </c>
      <c r="D998">
        <f>VLOOKUP(A998,收盤價!A:C,3,0)</f>
        <v>12.5</v>
      </c>
      <c r="E998" s="188">
        <v>0.4551804423748545</v>
      </c>
      <c r="F998">
        <v>88.38</v>
      </c>
    </row>
    <row r="999" spans="1:6">
      <c r="A999">
        <v>4946</v>
      </c>
      <c r="B999" t="s">
        <v>1631</v>
      </c>
      <c r="C999">
        <v>29.2</v>
      </c>
      <c r="D999">
        <f>VLOOKUP(A999,收盤價!A:C,3,0)</f>
        <v>40.049999999999997</v>
      </c>
      <c r="E999" s="188">
        <v>0.37157534246575336</v>
      </c>
      <c r="F999">
        <v>81.569999999999993</v>
      </c>
    </row>
    <row r="1000" spans="1:6">
      <c r="A1000">
        <v>4947</v>
      </c>
      <c r="B1000" t="s">
        <v>1632</v>
      </c>
      <c r="C1000">
        <v>115</v>
      </c>
      <c r="D1000">
        <f>VLOOKUP(A1000,收盤價!A:C,3,0)</f>
        <v>205.5</v>
      </c>
      <c r="E1000" s="188">
        <v>0.78695652173913044</v>
      </c>
      <c r="F1000">
        <v>97.54</v>
      </c>
    </row>
    <row r="1001" spans="1:6">
      <c r="A1001">
        <v>4950</v>
      </c>
      <c r="B1001" t="s">
        <v>401</v>
      </c>
      <c r="C1001">
        <v>21.25</v>
      </c>
      <c r="D1001">
        <f>VLOOKUP(A1001,收盤價!A:C,3,0)</f>
        <v>18.75</v>
      </c>
      <c r="E1001" s="188">
        <v>-0.11764705882352941</v>
      </c>
      <c r="F1001">
        <v>4.7300000000000004</v>
      </c>
    </row>
    <row r="1002" spans="1:6">
      <c r="A1002">
        <v>4952</v>
      </c>
      <c r="B1002" t="s">
        <v>1221</v>
      </c>
      <c r="C1002">
        <v>27.15</v>
      </c>
      <c r="D1002">
        <f>VLOOKUP(A1002,收盤價!A:C,3,0)</f>
        <v>35.9</v>
      </c>
      <c r="E1002" s="188">
        <v>0.32228360957642727</v>
      </c>
      <c r="F1002">
        <v>75.19</v>
      </c>
    </row>
    <row r="1003" spans="1:6">
      <c r="A1003">
        <v>4953</v>
      </c>
      <c r="B1003" t="s">
        <v>1633</v>
      </c>
      <c r="C1003">
        <v>20.2</v>
      </c>
      <c r="D1003">
        <f>VLOOKUP(A1003,收盤價!A:C,3,0)</f>
        <v>23</v>
      </c>
      <c r="E1003" s="188">
        <v>0.13861386138613865</v>
      </c>
      <c r="F1003">
        <v>38.51</v>
      </c>
    </row>
    <row r="1004" spans="1:6">
      <c r="A1004">
        <v>4956</v>
      </c>
      <c r="B1004" t="s">
        <v>1222</v>
      </c>
      <c r="C1004">
        <v>10.5</v>
      </c>
      <c r="D1004">
        <f>VLOOKUP(A1004,收盤價!A:C,3,0)</f>
        <v>11.75</v>
      </c>
      <c r="E1004" s="188">
        <v>0.11904761904761904</v>
      </c>
      <c r="F1004">
        <v>33.9</v>
      </c>
    </row>
    <row r="1005" spans="1:6">
      <c r="A1005">
        <v>4958</v>
      </c>
      <c r="B1005" t="s">
        <v>1223</v>
      </c>
      <c r="C1005">
        <v>79.400000000000006</v>
      </c>
      <c r="D1005">
        <f>VLOOKUP(A1005,收盤價!A:C,3,0)</f>
        <v>94</v>
      </c>
      <c r="E1005" s="188">
        <v>0.18387909319899237</v>
      </c>
      <c r="F1005">
        <v>49.43</v>
      </c>
    </row>
    <row r="1006" spans="1:6">
      <c r="A1006">
        <v>4960</v>
      </c>
      <c r="B1006" t="s">
        <v>1224</v>
      </c>
      <c r="C1006">
        <v>16.25</v>
      </c>
      <c r="D1006">
        <f>VLOOKUP(A1006,收盤價!A:C,3,0)</f>
        <v>21.7</v>
      </c>
      <c r="E1006" s="188">
        <v>0.33538461538461534</v>
      </c>
      <c r="F1006">
        <v>77.08</v>
      </c>
    </row>
    <row r="1007" spans="1:6">
      <c r="A1007">
        <v>4965</v>
      </c>
      <c r="B1007" t="s">
        <v>402</v>
      </c>
      <c r="C1007">
        <v>95.6</v>
      </c>
      <c r="D1007">
        <f>VLOOKUP(A1007,收盤價!A:C,3,0)</f>
        <v>135</v>
      </c>
      <c r="E1007" s="188">
        <v>0.41213389121338923</v>
      </c>
      <c r="F1007">
        <v>85.1</v>
      </c>
    </row>
    <row r="1008" spans="1:6">
      <c r="A1008">
        <v>4966</v>
      </c>
      <c r="B1008" t="s">
        <v>1634</v>
      </c>
      <c r="C1008">
        <v>178</v>
      </c>
      <c r="D1008">
        <f>VLOOKUP(A1008,收盤價!A:C,3,0)</f>
        <v>238.5</v>
      </c>
      <c r="E1008" s="188">
        <v>0.3398876404494382</v>
      </c>
      <c r="F1008">
        <v>77.59</v>
      </c>
    </row>
    <row r="1009" spans="1:6">
      <c r="A1009">
        <v>4971</v>
      </c>
      <c r="B1009" t="s">
        <v>1635</v>
      </c>
      <c r="C1009">
        <v>71.2</v>
      </c>
      <c r="D1009">
        <f>VLOOKUP(A1009,收盤價!A:C,3,0)</f>
        <v>114</v>
      </c>
      <c r="E1009" s="188">
        <v>0.60112359550561789</v>
      </c>
      <c r="F1009">
        <v>94.07</v>
      </c>
    </row>
    <row r="1010" spans="1:6">
      <c r="A1010">
        <v>4972</v>
      </c>
      <c r="B1010" t="s">
        <v>1636</v>
      </c>
      <c r="C1010">
        <v>32.700000000000003</v>
      </c>
      <c r="D1010">
        <f>VLOOKUP(A1010,收盤價!A:C,3,0)</f>
        <v>37.6</v>
      </c>
      <c r="E1010" s="188">
        <v>0.14984709480122319</v>
      </c>
      <c r="F1010">
        <v>41.22</v>
      </c>
    </row>
    <row r="1011" spans="1:6">
      <c r="A1011">
        <v>4973</v>
      </c>
      <c r="B1011" t="s">
        <v>1637</v>
      </c>
      <c r="C1011">
        <v>13.6</v>
      </c>
      <c r="D1011">
        <f>VLOOKUP(A1011,收盤價!A:C,3,0)</f>
        <v>16.350000000000001</v>
      </c>
      <c r="E1011" s="188">
        <v>0.20220588235294132</v>
      </c>
      <c r="F1011">
        <v>53.54</v>
      </c>
    </row>
    <row r="1012" spans="1:6">
      <c r="A1012">
        <v>4974</v>
      </c>
      <c r="B1012" t="s">
        <v>403</v>
      </c>
      <c r="C1012">
        <v>33</v>
      </c>
      <c r="D1012">
        <f>VLOOKUP(A1012,收盤價!A:C,3,0)</f>
        <v>40.1</v>
      </c>
      <c r="E1012" s="188">
        <v>0.2151515151515152</v>
      </c>
      <c r="F1012">
        <v>56.63</v>
      </c>
    </row>
    <row r="1013" spans="1:6">
      <c r="A1013">
        <v>4976</v>
      </c>
      <c r="B1013" t="s">
        <v>1225</v>
      </c>
      <c r="C1013">
        <v>14.7</v>
      </c>
      <c r="D1013">
        <f>VLOOKUP(A1013,收盤價!A:C,3,0)</f>
        <v>15.6</v>
      </c>
      <c r="E1013" s="188">
        <v>6.1224489795918394E-2</v>
      </c>
      <c r="F1013">
        <v>21.09</v>
      </c>
    </row>
    <row r="1014" spans="1:6">
      <c r="A1014">
        <v>4977</v>
      </c>
      <c r="B1014" t="s">
        <v>1226</v>
      </c>
      <c r="C1014">
        <v>52.5</v>
      </c>
      <c r="D1014">
        <f>VLOOKUP(A1014,收盤價!A:C,3,0)</f>
        <v>62.5</v>
      </c>
      <c r="E1014" s="188">
        <v>0.19047619047619047</v>
      </c>
      <c r="F1014">
        <v>50.82</v>
      </c>
    </row>
    <row r="1015" spans="1:6">
      <c r="A1015">
        <v>4979</v>
      </c>
      <c r="B1015" t="s">
        <v>404</v>
      </c>
      <c r="C1015">
        <v>57.9</v>
      </c>
      <c r="D1015">
        <f>VLOOKUP(A1015,收盤價!A:C,3,0)</f>
        <v>91.8</v>
      </c>
      <c r="E1015" s="188">
        <v>0.58549222797927458</v>
      </c>
      <c r="F1015">
        <v>93.56</v>
      </c>
    </row>
    <row r="1016" spans="1:6">
      <c r="A1016">
        <v>4984</v>
      </c>
      <c r="B1016" t="s">
        <v>1227</v>
      </c>
      <c r="C1016">
        <v>23</v>
      </c>
      <c r="D1016">
        <f>VLOOKUP(A1016,收盤價!A:C,3,0)</f>
        <v>36.5</v>
      </c>
      <c r="E1016" s="188">
        <v>0.58695652173913049</v>
      </c>
      <c r="F1016">
        <v>93.62</v>
      </c>
    </row>
    <row r="1017" spans="1:6">
      <c r="A1017">
        <v>4987</v>
      </c>
      <c r="B1017" t="s">
        <v>1638</v>
      </c>
      <c r="C1017">
        <v>59.3</v>
      </c>
      <c r="D1017">
        <f>VLOOKUP(A1017,收盤價!A:C,3,0)</f>
        <v>82</v>
      </c>
      <c r="E1017" s="188">
        <v>0.38279932546374373</v>
      </c>
      <c r="F1017">
        <v>82.95</v>
      </c>
    </row>
    <row r="1018" spans="1:6">
      <c r="A1018">
        <v>4991</v>
      </c>
      <c r="B1018" t="s">
        <v>1639</v>
      </c>
      <c r="C1018">
        <v>58.3</v>
      </c>
      <c r="D1018">
        <f>VLOOKUP(A1018,收盤價!A:C,3,0)</f>
        <v>78.3</v>
      </c>
      <c r="E1018" s="188">
        <v>0.34305317324185253</v>
      </c>
      <c r="F1018">
        <v>77.97</v>
      </c>
    </row>
    <row r="1019" spans="1:6">
      <c r="A1019">
        <v>4994</v>
      </c>
      <c r="B1019" t="s">
        <v>1228</v>
      </c>
      <c r="C1019">
        <v>121.5</v>
      </c>
      <c r="D1019">
        <f>VLOOKUP(A1019,收盤價!A:C,3,0)</f>
        <v>85.7</v>
      </c>
      <c r="E1019" s="188">
        <v>-0.29465020576131684</v>
      </c>
      <c r="F1019">
        <v>3.47</v>
      </c>
    </row>
    <row r="1020" spans="1:6">
      <c r="A1020">
        <v>4995</v>
      </c>
      <c r="B1020" t="s">
        <v>1640</v>
      </c>
      <c r="C1020">
        <v>34.950000000000003</v>
      </c>
      <c r="D1020">
        <f>VLOOKUP(A1020,收盤價!A:C,3,0)</f>
        <v>39</v>
      </c>
      <c r="E1020" s="188">
        <v>0.11587982832618017</v>
      </c>
      <c r="F1020">
        <v>33.14</v>
      </c>
    </row>
    <row r="1021" spans="1:6">
      <c r="A1021">
        <v>4999</v>
      </c>
      <c r="B1021" t="s">
        <v>1229</v>
      </c>
      <c r="C1021">
        <v>32.5</v>
      </c>
      <c r="D1021">
        <f>VLOOKUP(A1021,收盤價!A:C,3,0)</f>
        <v>44.6</v>
      </c>
      <c r="E1021" s="188">
        <v>0.37230769230769234</v>
      </c>
      <c r="F1021">
        <v>81.69</v>
      </c>
    </row>
    <row r="1022" spans="1:6">
      <c r="A1022">
        <v>5007</v>
      </c>
      <c r="B1022" t="s">
        <v>1230</v>
      </c>
      <c r="C1022">
        <v>46.6</v>
      </c>
      <c r="D1022">
        <f>VLOOKUP(A1022,收盤價!A:C,3,0)</f>
        <v>62.9</v>
      </c>
      <c r="E1022" s="188">
        <v>0.3497854077253218</v>
      </c>
      <c r="F1022">
        <v>78.91</v>
      </c>
    </row>
    <row r="1023" spans="1:6">
      <c r="A1023">
        <v>5009</v>
      </c>
      <c r="B1023" t="s">
        <v>405</v>
      </c>
      <c r="C1023">
        <v>13.85</v>
      </c>
      <c r="D1023">
        <f>VLOOKUP(A1023,收盤價!A:C,3,0)</f>
        <v>16.600000000000001</v>
      </c>
      <c r="E1023" s="188">
        <v>0.19855595667870049</v>
      </c>
      <c r="F1023">
        <v>52.59</v>
      </c>
    </row>
    <row r="1024" spans="1:6">
      <c r="A1024">
        <v>5011</v>
      </c>
      <c r="B1024" t="s">
        <v>406</v>
      </c>
      <c r="C1024">
        <v>21.7</v>
      </c>
      <c r="D1024">
        <f>VLOOKUP(A1024,收盤價!A:C,3,0)</f>
        <v>25.45</v>
      </c>
      <c r="E1024" s="188">
        <v>0.1728110599078341</v>
      </c>
      <c r="F1024">
        <v>46.28</v>
      </c>
    </row>
    <row r="1025" spans="1:6">
      <c r="A1025">
        <v>5013</v>
      </c>
      <c r="B1025" t="s">
        <v>1641</v>
      </c>
      <c r="C1025">
        <v>14.15</v>
      </c>
      <c r="D1025">
        <f>VLOOKUP(A1025,收盤價!A:C,3,0)</f>
        <v>15.85</v>
      </c>
      <c r="E1025" s="188">
        <v>0.1201413427561837</v>
      </c>
      <c r="F1025">
        <v>34.03</v>
      </c>
    </row>
    <row r="1026" spans="1:6">
      <c r="A1026">
        <v>5014</v>
      </c>
      <c r="B1026" t="s">
        <v>1642</v>
      </c>
      <c r="C1026">
        <v>6.51</v>
      </c>
      <c r="D1026">
        <f>VLOOKUP(A1026,收盤價!A:C,3,0)</f>
        <v>7.69</v>
      </c>
      <c r="E1026" s="188">
        <v>0.18125960061443941</v>
      </c>
      <c r="F1026">
        <v>48.17</v>
      </c>
    </row>
    <row r="1027" spans="1:6">
      <c r="A1027">
        <v>5015</v>
      </c>
      <c r="B1027" t="s">
        <v>407</v>
      </c>
      <c r="C1027">
        <v>12.9</v>
      </c>
      <c r="D1027">
        <f>VLOOKUP(A1027,收盤價!A:C,3,0)</f>
        <v>17.850000000000001</v>
      </c>
      <c r="E1027" s="188">
        <v>0.38372093023255821</v>
      </c>
      <c r="F1027">
        <v>83.14</v>
      </c>
    </row>
    <row r="1028" spans="1:6">
      <c r="A1028">
        <v>5016</v>
      </c>
      <c r="B1028" t="s">
        <v>1643</v>
      </c>
      <c r="C1028">
        <v>19.899999999999999</v>
      </c>
      <c r="D1028">
        <f>VLOOKUP(A1028,收盤價!A:C,3,0)</f>
        <v>23.2</v>
      </c>
      <c r="E1028" s="188">
        <v>0.16582914572864327</v>
      </c>
      <c r="F1028">
        <v>44.44</v>
      </c>
    </row>
    <row r="1029" spans="1:6">
      <c r="A1029">
        <v>5102</v>
      </c>
      <c r="B1029" t="s">
        <v>408</v>
      </c>
      <c r="C1029">
        <v>13.65</v>
      </c>
      <c r="D1029">
        <f>VLOOKUP(A1029,收盤價!A:C,3,0)</f>
        <v>14.3</v>
      </c>
      <c r="E1029" s="188">
        <v>4.7619047619047644E-2</v>
      </c>
      <c r="F1029">
        <v>18.690000000000001</v>
      </c>
    </row>
    <row r="1030" spans="1:6">
      <c r="A1030">
        <v>5201</v>
      </c>
      <c r="B1030" t="s">
        <v>1644</v>
      </c>
      <c r="C1030">
        <v>11.7</v>
      </c>
      <c r="D1030">
        <f>VLOOKUP(A1030,收盤價!A:C,3,0)</f>
        <v>13</v>
      </c>
      <c r="E1030" s="188">
        <v>0.11111111111111117</v>
      </c>
      <c r="F1030">
        <v>32.01</v>
      </c>
    </row>
    <row r="1031" spans="1:6">
      <c r="A1031">
        <v>5202</v>
      </c>
      <c r="B1031" t="s">
        <v>1645</v>
      </c>
      <c r="C1031">
        <v>12.55</v>
      </c>
      <c r="D1031">
        <f>VLOOKUP(A1031,收盤價!A:C,3,0)</f>
        <v>14</v>
      </c>
      <c r="E1031" s="188">
        <v>0.11553784860557763</v>
      </c>
      <c r="F1031">
        <v>33.08</v>
      </c>
    </row>
    <row r="1032" spans="1:6">
      <c r="A1032">
        <v>5203</v>
      </c>
      <c r="B1032" t="s">
        <v>1231</v>
      </c>
      <c r="C1032">
        <v>52.2</v>
      </c>
      <c r="D1032">
        <f>VLOOKUP(A1032,收盤價!A:C,3,0)</f>
        <v>71.599999999999994</v>
      </c>
      <c r="E1032" s="188">
        <v>0.37164750957854387</v>
      </c>
      <c r="F1032">
        <v>81.63</v>
      </c>
    </row>
    <row r="1033" spans="1:6">
      <c r="A1033">
        <v>5205</v>
      </c>
      <c r="B1033" t="s">
        <v>1646</v>
      </c>
      <c r="C1033">
        <v>0</v>
      </c>
      <c r="F1033">
        <v>0.76</v>
      </c>
    </row>
    <row r="1034" spans="1:6">
      <c r="A1034">
        <v>5206</v>
      </c>
      <c r="B1034" t="s">
        <v>409</v>
      </c>
      <c r="C1034">
        <v>9.4499999999999993</v>
      </c>
      <c r="D1034">
        <f>VLOOKUP(A1034,收盤價!A:C,3,0)</f>
        <v>11.6</v>
      </c>
      <c r="E1034" s="188">
        <v>0.22751322751322756</v>
      </c>
      <c r="F1034">
        <v>58.9</v>
      </c>
    </row>
    <row r="1035" spans="1:6">
      <c r="A1035">
        <v>5209</v>
      </c>
      <c r="B1035" t="s">
        <v>1647</v>
      </c>
      <c r="C1035">
        <v>39.9</v>
      </c>
      <c r="D1035">
        <f>VLOOKUP(A1035,收盤價!A:C,3,0)</f>
        <v>42.55</v>
      </c>
      <c r="E1035" s="188">
        <v>6.6416040100250595E-2</v>
      </c>
      <c r="F1035">
        <v>21.84</v>
      </c>
    </row>
    <row r="1036" spans="1:6">
      <c r="A1036">
        <v>5210</v>
      </c>
      <c r="B1036" t="s">
        <v>410</v>
      </c>
      <c r="C1036">
        <v>5.82</v>
      </c>
      <c r="D1036">
        <f>VLOOKUP(A1036,收盤價!A:C,3,0)</f>
        <v>7</v>
      </c>
      <c r="E1036" s="188">
        <v>0.20274914089347074</v>
      </c>
      <c r="F1036">
        <v>53.79</v>
      </c>
    </row>
    <row r="1037" spans="1:6">
      <c r="A1037">
        <v>5211</v>
      </c>
      <c r="B1037" t="s">
        <v>411</v>
      </c>
      <c r="C1037">
        <v>17.649999999999999</v>
      </c>
      <c r="D1037">
        <f>VLOOKUP(A1037,收盤價!A:C,3,0)</f>
        <v>23.65</v>
      </c>
      <c r="E1037" s="188">
        <v>0.33994334277620397</v>
      </c>
      <c r="F1037">
        <v>77.650000000000006</v>
      </c>
    </row>
    <row r="1038" spans="1:6">
      <c r="A1038">
        <v>5212</v>
      </c>
      <c r="B1038" t="s">
        <v>1648</v>
      </c>
      <c r="C1038">
        <v>18.2</v>
      </c>
      <c r="D1038">
        <f>VLOOKUP(A1038,收盤價!A:C,3,0)</f>
        <v>18.149999999999999</v>
      </c>
      <c r="E1038" s="188">
        <v>-2.7472527472527865E-3</v>
      </c>
      <c r="F1038">
        <v>11.49</v>
      </c>
    </row>
    <row r="1039" spans="1:6">
      <c r="A1039">
        <v>5213</v>
      </c>
      <c r="B1039" t="s">
        <v>1649</v>
      </c>
      <c r="C1039">
        <v>14.5</v>
      </c>
      <c r="D1039">
        <f>VLOOKUP(A1039,收盤價!A:C,3,0)</f>
        <v>14.55</v>
      </c>
      <c r="E1039" s="188">
        <v>3.4482758620690145E-3</v>
      </c>
      <c r="F1039">
        <v>12.69</v>
      </c>
    </row>
    <row r="1040" spans="1:6">
      <c r="A1040">
        <v>5215</v>
      </c>
      <c r="B1040" t="s">
        <v>1232</v>
      </c>
      <c r="C1040">
        <v>26.65</v>
      </c>
      <c r="D1040">
        <f>VLOOKUP(A1040,收盤價!A:C,3,0)</f>
        <v>39</v>
      </c>
      <c r="E1040" s="188">
        <v>0.46341463414634154</v>
      </c>
      <c r="F1040">
        <v>89.14</v>
      </c>
    </row>
    <row r="1041" spans="1:6">
      <c r="A1041">
        <v>5225</v>
      </c>
      <c r="B1041" t="s">
        <v>1233</v>
      </c>
      <c r="C1041">
        <v>33.5</v>
      </c>
      <c r="D1041">
        <f>VLOOKUP(A1041,收盤價!A:C,3,0)</f>
        <v>51.8</v>
      </c>
      <c r="E1041" s="188">
        <v>0.54626865671641778</v>
      </c>
      <c r="F1041">
        <v>92.61</v>
      </c>
    </row>
    <row r="1042" spans="1:6">
      <c r="A1042">
        <v>5227</v>
      </c>
      <c r="B1042" t="s">
        <v>1650</v>
      </c>
      <c r="C1042">
        <v>27.1</v>
      </c>
      <c r="D1042">
        <f>VLOOKUP(A1042,收盤價!A:C,3,0)</f>
        <v>33.5</v>
      </c>
      <c r="E1042" s="188">
        <v>0.23616236162361617</v>
      </c>
      <c r="F1042">
        <v>60.67</v>
      </c>
    </row>
    <row r="1043" spans="1:6">
      <c r="A1043">
        <v>5230</v>
      </c>
      <c r="B1043" t="s">
        <v>412</v>
      </c>
      <c r="C1043">
        <v>43.8</v>
      </c>
      <c r="D1043">
        <f>VLOOKUP(A1043,收盤價!A:C,3,0)</f>
        <v>49.2</v>
      </c>
      <c r="E1043" s="188">
        <v>0.12328767123287684</v>
      </c>
      <c r="F1043">
        <v>35.29</v>
      </c>
    </row>
    <row r="1044" spans="1:6">
      <c r="A1044">
        <v>5234</v>
      </c>
      <c r="B1044" t="s">
        <v>1234</v>
      </c>
      <c r="C1044">
        <v>29.85</v>
      </c>
      <c r="D1044">
        <f>VLOOKUP(A1044,收盤價!A:C,3,0)</f>
        <v>30.85</v>
      </c>
      <c r="E1044" s="188">
        <v>3.350083752093802E-2</v>
      </c>
      <c r="F1044">
        <v>16.600000000000001</v>
      </c>
    </row>
    <row r="1045" spans="1:6">
      <c r="A1045">
        <v>5243</v>
      </c>
      <c r="B1045" t="s">
        <v>1235</v>
      </c>
      <c r="C1045">
        <v>22.7</v>
      </c>
      <c r="D1045">
        <f>VLOOKUP(A1045,收盤價!A:C,3,0)</f>
        <v>29.75</v>
      </c>
      <c r="E1045" s="188">
        <v>0.31057268722466963</v>
      </c>
      <c r="F1045">
        <v>73.55</v>
      </c>
    </row>
    <row r="1046" spans="1:6">
      <c r="A1046">
        <v>5245</v>
      </c>
      <c r="B1046" t="s">
        <v>413</v>
      </c>
      <c r="C1046">
        <v>43.1</v>
      </c>
      <c r="D1046">
        <f>VLOOKUP(A1046,收盤價!A:C,3,0)</f>
        <v>76.7</v>
      </c>
      <c r="E1046" s="188">
        <v>0.77958236658932711</v>
      </c>
      <c r="F1046">
        <v>97.47</v>
      </c>
    </row>
    <row r="1047" spans="1:6">
      <c r="A1047">
        <v>5251</v>
      </c>
      <c r="B1047" t="s">
        <v>414</v>
      </c>
      <c r="C1047">
        <v>33.5</v>
      </c>
      <c r="D1047">
        <f>VLOOKUP(A1047,收盤價!A:C,3,0)</f>
        <v>31</v>
      </c>
      <c r="E1047" s="188">
        <v>-7.4626865671641784E-2</v>
      </c>
      <c r="F1047">
        <v>6.5</v>
      </c>
    </row>
    <row r="1048" spans="1:6">
      <c r="A1048">
        <v>5255</v>
      </c>
      <c r="B1048" t="s">
        <v>415</v>
      </c>
      <c r="C1048">
        <v>19.75</v>
      </c>
      <c r="D1048">
        <f>VLOOKUP(A1048,收盤價!A:C,3,0)</f>
        <v>18.850000000000001</v>
      </c>
      <c r="E1048" s="188">
        <v>-4.5569620253164488E-2</v>
      </c>
      <c r="F1048">
        <v>8.33</v>
      </c>
    </row>
    <row r="1049" spans="1:6">
      <c r="A1049">
        <v>5259</v>
      </c>
      <c r="B1049" t="s">
        <v>1236</v>
      </c>
      <c r="C1049">
        <v>7.43</v>
      </c>
      <c r="D1049">
        <f>VLOOKUP(A1049,收盤價!A:C,3,0)</f>
        <v>8.3000000000000007</v>
      </c>
      <c r="E1049" s="188">
        <v>0.11709286675639315</v>
      </c>
      <c r="F1049">
        <v>33.4</v>
      </c>
    </row>
    <row r="1050" spans="1:6">
      <c r="A1050">
        <v>5263</v>
      </c>
      <c r="B1050" t="s">
        <v>1651</v>
      </c>
      <c r="C1050">
        <v>211.5</v>
      </c>
      <c r="D1050">
        <f>VLOOKUP(A1050,收盤價!A:C,3,0)</f>
        <v>279.5</v>
      </c>
      <c r="E1050" s="188">
        <v>0.32151300236406621</v>
      </c>
      <c r="F1050">
        <v>75</v>
      </c>
    </row>
    <row r="1051" spans="1:6">
      <c r="A1051">
        <v>5264</v>
      </c>
      <c r="B1051" t="s">
        <v>1237</v>
      </c>
      <c r="C1051">
        <v>112</v>
      </c>
      <c r="D1051">
        <f>VLOOKUP(A1051,收盤價!A:C,3,0)</f>
        <v>158.5</v>
      </c>
      <c r="E1051" s="188">
        <v>0.41517857142857145</v>
      </c>
      <c r="F1051">
        <v>85.48</v>
      </c>
    </row>
    <row r="1052" spans="1:6">
      <c r="A1052">
        <v>5266</v>
      </c>
      <c r="B1052" t="s">
        <v>1652</v>
      </c>
      <c r="C1052">
        <v>55.8</v>
      </c>
      <c r="D1052">
        <f>VLOOKUP(A1052,收盤價!A:C,3,0)</f>
        <v>63.1</v>
      </c>
      <c r="E1052" s="188">
        <v>0.13082437275985673</v>
      </c>
      <c r="F1052">
        <v>36.99</v>
      </c>
    </row>
    <row r="1053" spans="1:6">
      <c r="A1053">
        <v>5269</v>
      </c>
      <c r="B1053" t="s">
        <v>1238</v>
      </c>
      <c r="C1053">
        <v>117</v>
      </c>
      <c r="D1053">
        <f>VLOOKUP(A1053,收盤價!A:C,3,0)</f>
        <v>161.5</v>
      </c>
      <c r="E1053" s="188">
        <v>0.38034188034188032</v>
      </c>
      <c r="F1053">
        <v>82.7</v>
      </c>
    </row>
    <row r="1054" spans="1:6">
      <c r="A1054">
        <v>5272</v>
      </c>
      <c r="B1054" t="s">
        <v>416</v>
      </c>
      <c r="C1054">
        <v>29.35</v>
      </c>
      <c r="D1054">
        <f>VLOOKUP(A1054,收盤價!A:C,3,0)</f>
        <v>40.6</v>
      </c>
      <c r="E1054" s="188">
        <v>0.38330494037478702</v>
      </c>
      <c r="F1054">
        <v>83.08</v>
      </c>
    </row>
    <row r="1055" spans="1:6">
      <c r="A1055">
        <v>5274</v>
      </c>
      <c r="B1055" t="s">
        <v>1653</v>
      </c>
      <c r="C1055">
        <v>247</v>
      </c>
      <c r="D1055">
        <f>VLOOKUP(A1055,收盤價!A:C,3,0)</f>
        <v>340</v>
      </c>
      <c r="E1055" s="188">
        <v>0.37651821862348178</v>
      </c>
      <c r="F1055">
        <v>82.07</v>
      </c>
    </row>
    <row r="1056" spans="1:6">
      <c r="A1056">
        <v>5276</v>
      </c>
      <c r="B1056" t="s">
        <v>1654</v>
      </c>
      <c r="C1056">
        <v>19.899999999999999</v>
      </c>
      <c r="D1056">
        <f>VLOOKUP(A1056,收盤價!A:C,3,0)</f>
        <v>21.6</v>
      </c>
      <c r="E1056" s="188">
        <v>8.5427135678392108E-2</v>
      </c>
      <c r="F1056">
        <v>26.33</v>
      </c>
    </row>
    <row r="1057" spans="1:6">
      <c r="A1057">
        <v>5278</v>
      </c>
      <c r="B1057" t="s">
        <v>417</v>
      </c>
      <c r="C1057">
        <v>22.5</v>
      </c>
      <c r="D1057">
        <f>VLOOKUP(A1057,收盤價!A:C,3,0)</f>
        <v>35.1</v>
      </c>
      <c r="E1057" s="188">
        <v>0.56000000000000005</v>
      </c>
      <c r="F1057">
        <v>92.99</v>
      </c>
    </row>
    <row r="1058" spans="1:6">
      <c r="A1058">
        <v>5284</v>
      </c>
      <c r="B1058" t="s">
        <v>1655</v>
      </c>
      <c r="C1058">
        <v>49.3</v>
      </c>
      <c r="D1058">
        <f>VLOOKUP(A1058,收盤價!A:C,3,0)</f>
        <v>77.5</v>
      </c>
      <c r="E1058" s="188">
        <v>0.57200811359026382</v>
      </c>
      <c r="F1058">
        <v>93.24</v>
      </c>
    </row>
    <row r="1059" spans="1:6">
      <c r="A1059">
        <v>5285</v>
      </c>
      <c r="B1059" t="s">
        <v>1239</v>
      </c>
      <c r="C1059">
        <v>29.8</v>
      </c>
      <c r="D1059">
        <f>VLOOKUP(A1059,收盤價!A:C,3,0)</f>
        <v>31.3</v>
      </c>
      <c r="E1059" s="188">
        <v>5.0335570469798654E-2</v>
      </c>
      <c r="F1059">
        <v>19.190000000000001</v>
      </c>
    </row>
    <row r="1060" spans="1:6">
      <c r="A1060">
        <v>5287</v>
      </c>
      <c r="B1060" t="s">
        <v>418</v>
      </c>
      <c r="C1060">
        <v>258</v>
      </c>
      <c r="D1060">
        <f>VLOOKUP(A1060,收盤價!A:C,3,0)</f>
        <v>295.5</v>
      </c>
      <c r="E1060" s="188">
        <v>0.14534883720930233</v>
      </c>
      <c r="F1060">
        <v>39.96</v>
      </c>
    </row>
    <row r="1061" spans="1:6">
      <c r="A1061">
        <v>5288</v>
      </c>
      <c r="B1061" t="s">
        <v>1240</v>
      </c>
      <c r="C1061">
        <v>52.3</v>
      </c>
      <c r="D1061">
        <f>VLOOKUP(A1061,收盤價!A:C,3,0)</f>
        <v>117</v>
      </c>
      <c r="E1061" s="188">
        <v>1.2370936902485661</v>
      </c>
      <c r="F1061">
        <v>99.31</v>
      </c>
    </row>
    <row r="1062" spans="1:6">
      <c r="A1062">
        <v>5289</v>
      </c>
      <c r="B1062" t="s">
        <v>1656</v>
      </c>
      <c r="C1062">
        <v>64.099999999999994</v>
      </c>
      <c r="D1062">
        <f>VLOOKUP(A1062,收盤價!A:C,3,0)</f>
        <v>94</v>
      </c>
      <c r="E1062" s="188">
        <v>0.46645865834633399</v>
      </c>
      <c r="F1062">
        <v>89.2</v>
      </c>
    </row>
    <row r="1063" spans="1:6">
      <c r="A1063">
        <v>5291</v>
      </c>
      <c r="B1063" t="s">
        <v>419</v>
      </c>
      <c r="C1063">
        <v>16</v>
      </c>
      <c r="D1063">
        <f>VLOOKUP(A1063,收盤價!A:C,3,0)</f>
        <v>17.399999999999999</v>
      </c>
      <c r="E1063" s="188">
        <v>8.7499999999999911E-2</v>
      </c>
      <c r="F1063">
        <v>26.64</v>
      </c>
    </row>
    <row r="1064" spans="1:6">
      <c r="A1064">
        <v>5301</v>
      </c>
      <c r="B1064" t="s">
        <v>420</v>
      </c>
      <c r="C1064">
        <v>49.9</v>
      </c>
      <c r="D1064">
        <f>VLOOKUP(A1064,收盤價!A:C,3,0)</f>
        <v>42.15</v>
      </c>
      <c r="E1064" s="188">
        <v>-0.15531062124248499</v>
      </c>
      <c r="F1064">
        <v>4.0999999999999996</v>
      </c>
    </row>
    <row r="1065" spans="1:6">
      <c r="A1065">
        <v>5302</v>
      </c>
      <c r="B1065" t="s">
        <v>421</v>
      </c>
      <c r="C1065">
        <v>4.25</v>
      </c>
      <c r="D1065">
        <f>VLOOKUP(A1065,收盤價!A:C,3,0)</f>
        <v>5.58</v>
      </c>
      <c r="E1065" s="188">
        <v>0.31294117647058828</v>
      </c>
      <c r="F1065">
        <v>73.989999999999995</v>
      </c>
    </row>
    <row r="1066" spans="1:6">
      <c r="A1066">
        <v>5304</v>
      </c>
      <c r="B1066" t="s">
        <v>422</v>
      </c>
      <c r="C1066">
        <v>3.46</v>
      </c>
      <c r="D1066">
        <f>VLOOKUP(A1066,收盤價!A:C,3,0)</f>
        <v>3.34</v>
      </c>
      <c r="E1066" s="188">
        <v>-3.4682080924855523E-2</v>
      </c>
      <c r="F1066">
        <v>9.0299999999999994</v>
      </c>
    </row>
    <row r="1067" spans="1:6">
      <c r="A1067">
        <v>5305</v>
      </c>
      <c r="B1067" t="s">
        <v>1241</v>
      </c>
      <c r="C1067">
        <v>16.899999999999999</v>
      </c>
      <c r="D1067">
        <f>VLOOKUP(A1067,收盤價!A:C,3,0)</f>
        <v>21.55</v>
      </c>
      <c r="E1067" s="188">
        <v>0.27514792899408297</v>
      </c>
      <c r="F1067">
        <v>67.680000000000007</v>
      </c>
    </row>
    <row r="1068" spans="1:6">
      <c r="A1068">
        <v>5306</v>
      </c>
      <c r="B1068" t="s">
        <v>1657</v>
      </c>
      <c r="C1068">
        <v>128.5</v>
      </c>
      <c r="D1068">
        <f>VLOOKUP(A1068,收盤價!A:C,3,0)</f>
        <v>143</v>
      </c>
      <c r="E1068" s="188">
        <v>0.11284046692607004</v>
      </c>
      <c r="F1068">
        <v>32.32</v>
      </c>
    </row>
    <row r="1069" spans="1:6">
      <c r="A1069">
        <v>5309</v>
      </c>
      <c r="B1069" t="s">
        <v>1658</v>
      </c>
      <c r="C1069">
        <v>13.7</v>
      </c>
      <c r="D1069">
        <f>VLOOKUP(A1069,收盤價!A:C,3,0)</f>
        <v>16.95</v>
      </c>
      <c r="E1069" s="188">
        <v>0.23722627737226279</v>
      </c>
      <c r="F1069">
        <v>60.98</v>
      </c>
    </row>
    <row r="1070" spans="1:6">
      <c r="A1070">
        <v>5310</v>
      </c>
      <c r="B1070" t="s">
        <v>1659</v>
      </c>
      <c r="C1070">
        <v>29.2</v>
      </c>
      <c r="D1070">
        <f>VLOOKUP(A1070,收盤價!A:C,3,0)</f>
        <v>26.3</v>
      </c>
      <c r="E1070" s="188">
        <v>-9.9315068493150638E-2</v>
      </c>
      <c r="F1070">
        <v>5.49</v>
      </c>
    </row>
    <row r="1071" spans="1:6">
      <c r="A1071">
        <v>5312</v>
      </c>
      <c r="B1071" t="s">
        <v>423</v>
      </c>
      <c r="C1071">
        <v>67.5</v>
      </c>
      <c r="D1071">
        <f>VLOOKUP(A1071,收盤價!A:C,3,0)</f>
        <v>77.8</v>
      </c>
      <c r="E1071" s="188">
        <v>0.15259259259259256</v>
      </c>
      <c r="F1071">
        <v>41.6</v>
      </c>
    </row>
    <row r="1072" spans="1:6">
      <c r="A1072">
        <v>5314</v>
      </c>
      <c r="B1072" t="s">
        <v>1660</v>
      </c>
      <c r="C1072">
        <v>6</v>
      </c>
      <c r="D1072">
        <f>VLOOKUP(A1072,收盤價!A:C,3,0)</f>
        <v>6.87</v>
      </c>
      <c r="E1072" s="188">
        <v>0.14500000000000002</v>
      </c>
      <c r="F1072">
        <v>39.840000000000003</v>
      </c>
    </row>
    <row r="1073" spans="1:6">
      <c r="A1073">
        <v>5315</v>
      </c>
      <c r="B1073" t="s">
        <v>1661</v>
      </c>
      <c r="C1073">
        <v>13.6</v>
      </c>
      <c r="D1073">
        <f>VLOOKUP(A1073,收盤價!A:C,3,0)</f>
        <v>24.45</v>
      </c>
      <c r="E1073" s="188">
        <v>0.79779411764705876</v>
      </c>
      <c r="F1073">
        <v>97.6</v>
      </c>
    </row>
    <row r="1074" spans="1:6">
      <c r="A1074">
        <v>5317</v>
      </c>
      <c r="B1074" t="s">
        <v>424</v>
      </c>
      <c r="C1074">
        <v>12.6</v>
      </c>
      <c r="D1074">
        <f>VLOOKUP(A1074,收盤價!A:C,3,0)</f>
        <v>14.75</v>
      </c>
      <c r="E1074" s="188">
        <v>0.17063492063492067</v>
      </c>
      <c r="F1074">
        <v>45.64</v>
      </c>
    </row>
    <row r="1075" spans="1:6">
      <c r="A1075">
        <v>5321</v>
      </c>
      <c r="B1075" t="s">
        <v>1662</v>
      </c>
      <c r="C1075">
        <v>37.950000000000003</v>
      </c>
      <c r="D1075">
        <f>VLOOKUP(A1075,收盤價!A:C,3,0)</f>
        <v>32.450000000000003</v>
      </c>
      <c r="E1075" s="188">
        <v>-0.14492753623188404</v>
      </c>
      <c r="F1075">
        <v>4.29</v>
      </c>
    </row>
    <row r="1076" spans="1:6">
      <c r="A1076">
        <v>5324</v>
      </c>
      <c r="B1076" t="s">
        <v>425</v>
      </c>
      <c r="C1076">
        <v>9.5</v>
      </c>
      <c r="D1076">
        <f>VLOOKUP(A1076,收盤價!A:C,3,0)</f>
        <v>11.2</v>
      </c>
      <c r="E1076" s="188">
        <v>0.17894736842105255</v>
      </c>
      <c r="F1076">
        <v>47.66</v>
      </c>
    </row>
    <row r="1077" spans="1:6">
      <c r="A1077">
        <v>5328</v>
      </c>
      <c r="B1077" t="s">
        <v>1663</v>
      </c>
      <c r="C1077">
        <v>3.86</v>
      </c>
      <c r="D1077">
        <f>VLOOKUP(A1077,收盤價!A:C,3,0)</f>
        <v>5.71</v>
      </c>
      <c r="E1077" s="188">
        <v>0.47927461139896377</v>
      </c>
      <c r="F1077">
        <v>89.77</v>
      </c>
    </row>
    <row r="1078" spans="1:6">
      <c r="A1078">
        <v>5340</v>
      </c>
      <c r="B1078" t="s">
        <v>1664</v>
      </c>
      <c r="C1078">
        <v>3.33</v>
      </c>
      <c r="D1078">
        <f>VLOOKUP(A1078,收盤價!A:C,3,0)</f>
        <v>3.94</v>
      </c>
      <c r="E1078" s="188">
        <v>0.18318318318318313</v>
      </c>
      <c r="F1078">
        <v>48.99</v>
      </c>
    </row>
    <row r="1079" spans="1:6">
      <c r="A1079">
        <v>5344</v>
      </c>
      <c r="B1079" t="s">
        <v>1665</v>
      </c>
      <c r="C1079">
        <v>5.26</v>
      </c>
      <c r="D1079">
        <f>VLOOKUP(A1079,收盤價!A:C,3,0)</f>
        <v>6.13</v>
      </c>
      <c r="E1079" s="188">
        <v>0.16539923954372626</v>
      </c>
      <c r="F1079">
        <v>44.26</v>
      </c>
    </row>
    <row r="1080" spans="1:6">
      <c r="A1080">
        <v>5345</v>
      </c>
      <c r="B1080" t="s">
        <v>426</v>
      </c>
      <c r="C1080">
        <v>9.01</v>
      </c>
      <c r="D1080">
        <f>VLOOKUP(A1080,收盤價!A:C,3,0)</f>
        <v>10.1</v>
      </c>
      <c r="E1080" s="188">
        <v>0.12097669256381796</v>
      </c>
      <c r="F1080">
        <v>34.28</v>
      </c>
    </row>
    <row r="1081" spans="1:6">
      <c r="A1081">
        <v>5347</v>
      </c>
      <c r="B1081" t="s">
        <v>427</v>
      </c>
      <c r="C1081">
        <v>37.450000000000003</v>
      </c>
      <c r="D1081">
        <f>VLOOKUP(A1081,收盤價!A:C,3,0)</f>
        <v>42.15</v>
      </c>
      <c r="E1081" s="188">
        <v>0.12550066755674219</v>
      </c>
      <c r="F1081">
        <v>35.67</v>
      </c>
    </row>
    <row r="1082" spans="1:6">
      <c r="A1082">
        <v>5348</v>
      </c>
      <c r="B1082" t="s">
        <v>1666</v>
      </c>
      <c r="C1082">
        <v>0</v>
      </c>
      <c r="F1082">
        <v>0.69</v>
      </c>
    </row>
    <row r="1083" spans="1:6">
      <c r="A1083">
        <v>5349</v>
      </c>
      <c r="B1083" t="s">
        <v>1667</v>
      </c>
      <c r="C1083">
        <v>24.25</v>
      </c>
      <c r="D1083">
        <f>VLOOKUP(A1083,收盤價!A:C,3,0)</f>
        <v>37.299999999999997</v>
      </c>
      <c r="E1083" s="188">
        <v>0.53814432989690708</v>
      </c>
      <c r="F1083">
        <v>92.36</v>
      </c>
    </row>
    <row r="1084" spans="1:6">
      <c r="A1084">
        <v>5351</v>
      </c>
      <c r="B1084" t="s">
        <v>1668</v>
      </c>
      <c r="C1084">
        <v>9.6300000000000008</v>
      </c>
      <c r="D1084">
        <f>VLOOKUP(A1084,收盤價!A:C,3,0)</f>
        <v>12.25</v>
      </c>
      <c r="E1084" s="188">
        <v>0.27206645898234671</v>
      </c>
      <c r="F1084">
        <v>66.92</v>
      </c>
    </row>
    <row r="1085" spans="1:6">
      <c r="A1085">
        <v>5353</v>
      </c>
      <c r="B1085" t="s">
        <v>1669</v>
      </c>
      <c r="C1085">
        <v>8.1</v>
      </c>
      <c r="D1085">
        <f>VLOOKUP(A1085,收盤價!A:C,3,0)</f>
        <v>9.3699999999999992</v>
      </c>
      <c r="E1085" s="188">
        <v>0.15679012345679008</v>
      </c>
      <c r="F1085">
        <v>42.99</v>
      </c>
    </row>
    <row r="1086" spans="1:6">
      <c r="A1086">
        <v>5355</v>
      </c>
      <c r="B1086" t="s">
        <v>428</v>
      </c>
      <c r="C1086">
        <v>6.4</v>
      </c>
      <c r="D1086">
        <f>VLOOKUP(A1086,收盤價!A:C,3,0)</f>
        <v>6.96</v>
      </c>
      <c r="E1086" s="188">
        <v>8.7499999999999939E-2</v>
      </c>
      <c r="F1086">
        <v>26.7</v>
      </c>
    </row>
    <row r="1087" spans="1:6">
      <c r="A1087">
        <v>5356</v>
      </c>
      <c r="B1087" t="s">
        <v>1670</v>
      </c>
      <c r="C1087">
        <v>40.700000000000003</v>
      </c>
      <c r="D1087">
        <f>VLOOKUP(A1087,收盤價!A:C,3,0)</f>
        <v>39.299999999999997</v>
      </c>
      <c r="E1087" s="188">
        <v>-3.4398034398034537E-2</v>
      </c>
      <c r="F1087">
        <v>9.15</v>
      </c>
    </row>
    <row r="1088" spans="1:6">
      <c r="A1088">
        <v>5364</v>
      </c>
      <c r="B1088" t="s">
        <v>429</v>
      </c>
      <c r="C1088">
        <v>0</v>
      </c>
      <c r="F1088">
        <v>0.63</v>
      </c>
    </row>
    <row r="1089" spans="1:6">
      <c r="A1089">
        <v>5371</v>
      </c>
      <c r="B1089" t="s">
        <v>430</v>
      </c>
      <c r="C1089">
        <v>21.7</v>
      </c>
      <c r="D1089">
        <f>VLOOKUP(A1089,收盤價!A:C,3,0)</f>
        <v>33.35</v>
      </c>
      <c r="E1089" s="188">
        <v>0.53686635944700467</v>
      </c>
      <c r="F1089">
        <v>92.23</v>
      </c>
    </row>
    <row r="1090" spans="1:6">
      <c r="A1090">
        <v>5381</v>
      </c>
      <c r="B1090" t="s">
        <v>1671</v>
      </c>
      <c r="C1090">
        <v>1.58</v>
      </c>
      <c r="D1090">
        <f>VLOOKUP(A1090,收盤價!A:C,3,0)</f>
        <v>1.99</v>
      </c>
      <c r="E1090" s="188">
        <v>0.25949367088607589</v>
      </c>
      <c r="F1090">
        <v>65.03</v>
      </c>
    </row>
    <row r="1091" spans="1:6">
      <c r="A1091">
        <v>5383</v>
      </c>
      <c r="B1091" t="s">
        <v>1672</v>
      </c>
      <c r="C1091">
        <v>8.1999999999999993</v>
      </c>
      <c r="D1091">
        <f>VLOOKUP(A1091,收盤價!A:C,3,0)</f>
        <v>10.45</v>
      </c>
      <c r="E1091" s="188">
        <v>0.27439024390243905</v>
      </c>
      <c r="F1091">
        <v>67.489999999999995</v>
      </c>
    </row>
    <row r="1092" spans="1:6">
      <c r="A1092">
        <v>5384</v>
      </c>
      <c r="B1092" t="s">
        <v>431</v>
      </c>
      <c r="C1092">
        <v>11.85</v>
      </c>
      <c r="D1092">
        <f>VLOOKUP(A1092,收盤價!A:C,3,0)</f>
        <v>12.9</v>
      </c>
      <c r="E1092" s="188">
        <v>8.8607594936708917E-2</v>
      </c>
      <c r="F1092">
        <v>27.02</v>
      </c>
    </row>
    <row r="1093" spans="1:6">
      <c r="A1093">
        <v>5386</v>
      </c>
      <c r="B1093" t="s">
        <v>1673</v>
      </c>
      <c r="C1093">
        <v>26</v>
      </c>
      <c r="D1093">
        <f>VLOOKUP(A1093,收盤價!A:C,3,0)</f>
        <v>25.55</v>
      </c>
      <c r="E1093" s="188">
        <v>-1.7307692307692281E-2</v>
      </c>
      <c r="F1093">
        <v>10.35</v>
      </c>
    </row>
    <row r="1094" spans="1:6">
      <c r="A1094">
        <v>5388</v>
      </c>
      <c r="B1094" t="s">
        <v>1242</v>
      </c>
      <c r="C1094">
        <v>66.8</v>
      </c>
      <c r="D1094">
        <f>VLOOKUP(A1094,收盤價!A:C,3,0)</f>
        <v>72.2</v>
      </c>
      <c r="E1094" s="188">
        <v>8.0838323353293495E-2</v>
      </c>
      <c r="F1094">
        <v>24.81</v>
      </c>
    </row>
    <row r="1095" spans="1:6">
      <c r="A1095">
        <v>5392</v>
      </c>
      <c r="B1095" t="s">
        <v>1674</v>
      </c>
      <c r="C1095">
        <v>47.9</v>
      </c>
      <c r="D1095">
        <f>VLOOKUP(A1095,收盤價!A:C,3,0)</f>
        <v>56.9</v>
      </c>
      <c r="E1095" s="188">
        <v>0.18789144050104384</v>
      </c>
      <c r="F1095">
        <v>49.94</v>
      </c>
    </row>
    <row r="1096" spans="1:6">
      <c r="A1096">
        <v>5395</v>
      </c>
      <c r="B1096" t="s">
        <v>1675</v>
      </c>
      <c r="C1096">
        <v>31.9</v>
      </c>
      <c r="D1096">
        <f>VLOOKUP(A1096,收盤價!A:C,3,0)</f>
        <v>34.9</v>
      </c>
      <c r="E1096" s="188">
        <v>9.4043887147335428E-2</v>
      </c>
      <c r="F1096">
        <v>28.22</v>
      </c>
    </row>
    <row r="1097" spans="1:6">
      <c r="A1097">
        <v>5398</v>
      </c>
      <c r="B1097" t="s">
        <v>432</v>
      </c>
      <c r="C1097">
        <v>16.7</v>
      </c>
      <c r="D1097">
        <f>VLOOKUP(A1097,收盤價!A:C,3,0)</f>
        <v>16.7</v>
      </c>
      <c r="E1097" s="188">
        <v>0</v>
      </c>
      <c r="F1097">
        <v>12.06</v>
      </c>
    </row>
    <row r="1098" spans="1:6">
      <c r="A1098">
        <v>5403</v>
      </c>
      <c r="B1098" t="s">
        <v>1866</v>
      </c>
      <c r="C1098">
        <v>18.5</v>
      </c>
      <c r="D1098">
        <f>VLOOKUP(A1098,收盤價!A:C,3,0)</f>
        <v>22.25</v>
      </c>
      <c r="E1098" s="188">
        <v>0.20270270270270271</v>
      </c>
      <c r="F1098">
        <v>53.72</v>
      </c>
    </row>
    <row r="1099" spans="1:6">
      <c r="A1099">
        <v>5410</v>
      </c>
      <c r="B1099" t="s">
        <v>1676</v>
      </c>
      <c r="C1099">
        <v>9.5</v>
      </c>
      <c r="D1099">
        <f>VLOOKUP(A1099,收盤價!A:C,3,0)</f>
        <v>11.75</v>
      </c>
      <c r="E1099" s="188">
        <v>0.23684210526315788</v>
      </c>
      <c r="F1099">
        <v>60.8</v>
      </c>
    </row>
    <row r="1100" spans="1:6">
      <c r="A1100">
        <v>5425</v>
      </c>
      <c r="B1100" t="s">
        <v>433</v>
      </c>
      <c r="C1100">
        <v>21.15</v>
      </c>
      <c r="D1100">
        <f>VLOOKUP(A1100,收盤價!A:C,3,0)</f>
        <v>31.6</v>
      </c>
      <c r="E1100" s="188">
        <v>0.49408983451536659</v>
      </c>
      <c r="F1100">
        <v>90.34</v>
      </c>
    </row>
    <row r="1101" spans="1:6">
      <c r="A1101">
        <v>5426</v>
      </c>
      <c r="B1101" t="s">
        <v>434</v>
      </c>
      <c r="C1101">
        <v>10.45</v>
      </c>
      <c r="D1101">
        <f>VLOOKUP(A1101,收盤價!A:C,3,0)</f>
        <v>10.9</v>
      </c>
      <c r="E1101" s="188">
        <v>4.3062200956937906E-2</v>
      </c>
      <c r="F1101">
        <v>17.989999999999998</v>
      </c>
    </row>
    <row r="1102" spans="1:6">
      <c r="A1102">
        <v>5432</v>
      </c>
      <c r="B1102" t="s">
        <v>1677</v>
      </c>
      <c r="C1102">
        <v>15</v>
      </c>
      <c r="D1102">
        <f>VLOOKUP(A1102,收盤價!A:C,3,0)</f>
        <v>15.1</v>
      </c>
      <c r="E1102" s="188">
        <v>6.6666666666666428E-3</v>
      </c>
      <c r="F1102">
        <v>13.19</v>
      </c>
    </row>
    <row r="1103" spans="1:6">
      <c r="A1103">
        <v>5434</v>
      </c>
      <c r="B1103" t="s">
        <v>1243</v>
      </c>
      <c r="C1103">
        <v>41.85</v>
      </c>
      <c r="D1103">
        <f>VLOOKUP(A1103,收盤價!A:C,3,0)</f>
        <v>52</v>
      </c>
      <c r="E1103" s="188">
        <v>0.24253285543608119</v>
      </c>
      <c r="F1103">
        <v>61.68</v>
      </c>
    </row>
    <row r="1104" spans="1:6">
      <c r="A1104">
        <v>5438</v>
      </c>
      <c r="B1104" t="s">
        <v>1678</v>
      </c>
      <c r="C1104">
        <v>9.0500000000000007</v>
      </c>
      <c r="D1104">
        <f>VLOOKUP(A1104,收盤價!A:C,3,0)</f>
        <v>13.55</v>
      </c>
      <c r="E1104" s="188">
        <v>0.49723756906077343</v>
      </c>
      <c r="F1104">
        <v>90.66</v>
      </c>
    </row>
    <row r="1105" spans="1:6">
      <c r="A1105">
        <v>5439</v>
      </c>
      <c r="B1105" t="s">
        <v>435</v>
      </c>
      <c r="C1105">
        <v>15.65</v>
      </c>
      <c r="D1105">
        <f>VLOOKUP(A1105,收盤價!A:C,3,0)</f>
        <v>18.75</v>
      </c>
      <c r="E1105" s="188">
        <v>0.19808306709265172</v>
      </c>
      <c r="F1105">
        <v>52.46</v>
      </c>
    </row>
    <row r="1106" spans="1:6">
      <c r="A1106">
        <v>5443</v>
      </c>
      <c r="B1106" t="s">
        <v>1679</v>
      </c>
      <c r="C1106">
        <v>9.4</v>
      </c>
      <c r="D1106">
        <f>VLOOKUP(A1106,收盤價!A:C,3,0)</f>
        <v>13.25</v>
      </c>
      <c r="E1106" s="188">
        <v>0.40957446808510634</v>
      </c>
      <c r="F1106">
        <v>84.85</v>
      </c>
    </row>
    <row r="1107" spans="1:6">
      <c r="A1107">
        <v>5450</v>
      </c>
      <c r="B1107" t="s">
        <v>436</v>
      </c>
      <c r="C1107">
        <v>6</v>
      </c>
      <c r="D1107">
        <f>VLOOKUP(A1107,收盤價!A:C,3,0)</f>
        <v>8</v>
      </c>
      <c r="E1107" s="188">
        <v>0.33333333333333331</v>
      </c>
      <c r="F1107">
        <v>76.7</v>
      </c>
    </row>
    <row r="1108" spans="1:6">
      <c r="A1108">
        <v>5452</v>
      </c>
      <c r="B1108" t="s">
        <v>437</v>
      </c>
      <c r="C1108">
        <v>7.1</v>
      </c>
      <c r="D1108">
        <f>VLOOKUP(A1108,收盤價!A:C,3,0)</f>
        <v>9.15</v>
      </c>
      <c r="E1108" s="188">
        <v>0.2887323943661973</v>
      </c>
      <c r="F1108">
        <v>69.760000000000005</v>
      </c>
    </row>
    <row r="1109" spans="1:6">
      <c r="A1109">
        <v>5455</v>
      </c>
      <c r="B1109" t="s">
        <v>438</v>
      </c>
      <c r="C1109">
        <v>0</v>
      </c>
      <c r="F1109">
        <v>0.56999999999999995</v>
      </c>
    </row>
    <row r="1110" spans="1:6">
      <c r="A1110">
        <v>5457</v>
      </c>
      <c r="B1110" t="s">
        <v>439</v>
      </c>
      <c r="C1110">
        <v>25.6</v>
      </c>
      <c r="D1110">
        <f>VLOOKUP(A1110,收盤價!A:C,3,0)</f>
        <v>25.8</v>
      </c>
      <c r="E1110" s="188">
        <v>7.8124999999999722E-3</v>
      </c>
      <c r="F1110">
        <v>13.51</v>
      </c>
    </row>
    <row r="1111" spans="1:6">
      <c r="A1111">
        <v>5460</v>
      </c>
      <c r="B1111" t="s">
        <v>1680</v>
      </c>
      <c r="C1111">
        <v>12</v>
      </c>
      <c r="D1111">
        <f>VLOOKUP(A1111,收盤價!A:C,3,0)</f>
        <v>12.15</v>
      </c>
      <c r="E1111" s="188">
        <v>1.250000000000003E-2</v>
      </c>
      <c r="F1111">
        <v>13.95</v>
      </c>
    </row>
    <row r="1112" spans="1:6">
      <c r="A1112">
        <v>5464</v>
      </c>
      <c r="B1112" t="s">
        <v>1681</v>
      </c>
      <c r="C1112">
        <v>15.6</v>
      </c>
      <c r="D1112">
        <f>VLOOKUP(A1112,收盤價!A:C,3,0)</f>
        <v>16.399999999999999</v>
      </c>
      <c r="E1112" s="188">
        <v>5.1282051282051218E-2</v>
      </c>
      <c r="F1112">
        <v>19.38</v>
      </c>
    </row>
    <row r="1113" spans="1:6">
      <c r="A1113">
        <v>5465</v>
      </c>
      <c r="B1113" t="s">
        <v>440</v>
      </c>
      <c r="C1113">
        <v>11.35</v>
      </c>
      <c r="D1113">
        <f>VLOOKUP(A1113,收盤價!A:C,3,0)</f>
        <v>10.45</v>
      </c>
      <c r="E1113" s="188">
        <v>-7.929515418502206E-2</v>
      </c>
      <c r="F1113">
        <v>6.31</v>
      </c>
    </row>
    <row r="1114" spans="1:6">
      <c r="A1114">
        <v>5468</v>
      </c>
      <c r="B1114" t="s">
        <v>441</v>
      </c>
      <c r="C1114">
        <v>7.54</v>
      </c>
      <c r="D1114">
        <f>VLOOKUP(A1114,收盤價!A:C,3,0)</f>
        <v>7.05</v>
      </c>
      <c r="E1114" s="188">
        <v>-6.4986737400530528E-2</v>
      </c>
      <c r="F1114">
        <v>7.01</v>
      </c>
    </row>
    <row r="1115" spans="1:6">
      <c r="A1115">
        <v>5469</v>
      </c>
      <c r="B1115" t="s">
        <v>1244</v>
      </c>
      <c r="C1115">
        <v>7.1</v>
      </c>
      <c r="D1115">
        <f>VLOOKUP(A1115,收盤價!A:C,3,0)</f>
        <v>10.1</v>
      </c>
      <c r="E1115" s="188">
        <v>0.42253521126760568</v>
      </c>
      <c r="F1115">
        <v>86.05</v>
      </c>
    </row>
    <row r="1116" spans="1:6">
      <c r="A1116">
        <v>5471</v>
      </c>
      <c r="B1116" t="s">
        <v>1245</v>
      </c>
      <c r="C1116">
        <v>31.4</v>
      </c>
      <c r="D1116">
        <f>VLOOKUP(A1116,收盤價!A:C,3,0)</f>
        <v>35.700000000000003</v>
      </c>
      <c r="E1116" s="188">
        <v>0.1369426751592358</v>
      </c>
      <c r="F1116">
        <v>38.07</v>
      </c>
    </row>
    <row r="1117" spans="1:6">
      <c r="A1117">
        <v>5474</v>
      </c>
      <c r="B1117" t="s">
        <v>1682</v>
      </c>
      <c r="C1117">
        <v>46.8</v>
      </c>
      <c r="D1117">
        <f>VLOOKUP(A1117,收盤價!A:C,3,0)</f>
        <v>69.900000000000006</v>
      </c>
      <c r="E1117" s="188">
        <v>0.49358974358974378</v>
      </c>
      <c r="F1117">
        <v>90.28</v>
      </c>
    </row>
    <row r="1118" spans="1:6">
      <c r="A1118">
        <v>5475</v>
      </c>
      <c r="B1118" t="s">
        <v>1683</v>
      </c>
      <c r="C1118">
        <v>3.25</v>
      </c>
      <c r="D1118">
        <f>VLOOKUP(A1118,收盤價!A:C,3,0)</f>
        <v>4.13</v>
      </c>
      <c r="E1118" s="188">
        <v>0.27076923076923076</v>
      </c>
      <c r="F1118">
        <v>66.48</v>
      </c>
    </row>
    <row r="1119" spans="1:6">
      <c r="A1119">
        <v>5478</v>
      </c>
      <c r="B1119" t="s">
        <v>442</v>
      </c>
      <c r="C1119">
        <v>38.6</v>
      </c>
      <c r="D1119">
        <f>VLOOKUP(A1119,收盤價!A:C,3,0)</f>
        <v>60.8</v>
      </c>
      <c r="E1119" s="188">
        <v>0.5751295336787563</v>
      </c>
      <c r="F1119">
        <v>93.37</v>
      </c>
    </row>
    <row r="1120" spans="1:6">
      <c r="A1120">
        <v>5480</v>
      </c>
      <c r="B1120" t="s">
        <v>1684</v>
      </c>
      <c r="C1120">
        <v>9.68</v>
      </c>
      <c r="D1120">
        <f>VLOOKUP(A1120,收盤價!A:C,3,0)</f>
        <v>12</v>
      </c>
      <c r="E1120" s="188">
        <v>0.23966942148760334</v>
      </c>
      <c r="F1120">
        <v>61.36</v>
      </c>
    </row>
    <row r="1121" spans="1:6">
      <c r="A1121">
        <v>5481</v>
      </c>
      <c r="B1121" t="s">
        <v>1685</v>
      </c>
      <c r="C1121">
        <v>15.7</v>
      </c>
      <c r="D1121">
        <f>VLOOKUP(A1121,收盤價!A:C,3,0)</f>
        <v>14.6</v>
      </c>
      <c r="E1121" s="188">
        <v>-7.0063694267515908E-2</v>
      </c>
      <c r="F1121">
        <v>6.76</v>
      </c>
    </row>
    <row r="1122" spans="1:6">
      <c r="A1122">
        <v>5483</v>
      </c>
      <c r="B1122" t="s">
        <v>1686</v>
      </c>
      <c r="C1122">
        <v>27.45</v>
      </c>
      <c r="D1122">
        <f>VLOOKUP(A1122,收盤價!A:C,3,0)</f>
        <v>39.85</v>
      </c>
      <c r="E1122" s="188">
        <v>0.45173041894353377</v>
      </c>
      <c r="F1122">
        <v>88.26</v>
      </c>
    </row>
    <row r="1123" spans="1:6">
      <c r="A1123">
        <v>5484</v>
      </c>
      <c r="B1123" t="s">
        <v>1246</v>
      </c>
      <c r="C1123">
        <v>3.55</v>
      </c>
      <c r="D1123">
        <f>VLOOKUP(A1123,收盤價!A:C,3,0)</f>
        <v>4.4800000000000004</v>
      </c>
      <c r="E1123" s="188">
        <v>0.2619718309859157</v>
      </c>
      <c r="F1123">
        <v>65.53</v>
      </c>
    </row>
    <row r="1124" spans="1:6">
      <c r="A1124">
        <v>5487</v>
      </c>
      <c r="B1124" t="s">
        <v>443</v>
      </c>
      <c r="C1124">
        <v>17.600000000000001</v>
      </c>
      <c r="D1124">
        <f>VLOOKUP(A1124,收盤價!A:C,3,0)</f>
        <v>20.8</v>
      </c>
      <c r="E1124" s="188">
        <v>0.18181818181818177</v>
      </c>
      <c r="F1124">
        <v>48.42</v>
      </c>
    </row>
    <row r="1125" spans="1:6">
      <c r="A1125">
        <v>5488</v>
      </c>
      <c r="B1125" t="s">
        <v>1687</v>
      </c>
      <c r="C1125">
        <v>5.46</v>
      </c>
      <c r="D1125">
        <f>VLOOKUP(A1125,收盤價!A:C,3,0)</f>
        <v>5.76</v>
      </c>
      <c r="E1125" s="188">
        <v>5.4945054945054909E-2</v>
      </c>
      <c r="F1125">
        <v>20.079999999999998</v>
      </c>
    </row>
    <row r="1126" spans="1:6">
      <c r="A1126">
        <v>5489</v>
      </c>
      <c r="B1126" t="s">
        <v>1688</v>
      </c>
      <c r="C1126">
        <v>45.85</v>
      </c>
      <c r="D1126">
        <f>VLOOKUP(A1126,收盤價!A:C,3,0)</f>
        <v>51</v>
      </c>
      <c r="E1126" s="188">
        <v>0.11232279171210466</v>
      </c>
      <c r="F1126">
        <v>32.200000000000003</v>
      </c>
    </row>
    <row r="1127" spans="1:6">
      <c r="A1127">
        <v>5490</v>
      </c>
      <c r="B1127" t="s">
        <v>444</v>
      </c>
      <c r="C1127">
        <v>54.6</v>
      </c>
      <c r="D1127">
        <f>VLOOKUP(A1127,收盤價!A:C,3,0)</f>
        <v>75.8</v>
      </c>
      <c r="E1127" s="188">
        <v>0.38827838827838818</v>
      </c>
      <c r="F1127">
        <v>83.4</v>
      </c>
    </row>
    <row r="1128" spans="1:6">
      <c r="A1128">
        <v>5491</v>
      </c>
      <c r="B1128" t="s">
        <v>1689</v>
      </c>
      <c r="C1128">
        <v>5.8</v>
      </c>
      <c r="D1128">
        <f>VLOOKUP(A1128,收盤價!A:C,3,0)</f>
        <v>7.23</v>
      </c>
      <c r="E1128" s="188">
        <v>0.24655172413793114</v>
      </c>
      <c r="F1128">
        <v>62.69</v>
      </c>
    </row>
    <row r="1129" spans="1:6">
      <c r="A1129">
        <v>5493</v>
      </c>
      <c r="B1129" t="s">
        <v>1690</v>
      </c>
      <c r="C1129">
        <v>28.15</v>
      </c>
      <c r="D1129">
        <f>VLOOKUP(A1129,收盤價!A:C,3,0)</f>
        <v>31.2</v>
      </c>
      <c r="E1129" s="188">
        <v>0.10834813499111903</v>
      </c>
      <c r="F1129">
        <v>31.25</v>
      </c>
    </row>
    <row r="1130" spans="1:6">
      <c r="A1130">
        <v>5498</v>
      </c>
      <c r="B1130" t="s">
        <v>1691</v>
      </c>
      <c r="C1130">
        <v>6.6</v>
      </c>
      <c r="D1130">
        <f>VLOOKUP(A1130,收盤價!A:C,3,0)</f>
        <v>8.1</v>
      </c>
      <c r="E1130" s="188">
        <v>0.22727272727272729</v>
      </c>
      <c r="F1130">
        <v>58.78</v>
      </c>
    </row>
    <row r="1131" spans="1:6">
      <c r="A1131">
        <v>5508</v>
      </c>
      <c r="B1131" t="s">
        <v>1692</v>
      </c>
      <c r="C1131">
        <v>28.55</v>
      </c>
      <c r="D1131">
        <f>VLOOKUP(A1131,收盤價!A:C,3,0)</f>
        <v>30.1</v>
      </c>
      <c r="E1131" s="188">
        <v>5.4290718038528918E-2</v>
      </c>
      <c r="F1131">
        <v>19.95</v>
      </c>
    </row>
    <row r="1132" spans="1:6">
      <c r="A1132">
        <v>5511</v>
      </c>
      <c r="B1132" t="s">
        <v>1693</v>
      </c>
      <c r="C1132">
        <v>21.9</v>
      </c>
      <c r="D1132">
        <f>VLOOKUP(A1132,收盤價!A:C,3,0)</f>
        <v>24.65</v>
      </c>
      <c r="E1132" s="188">
        <v>0.12557077625570778</v>
      </c>
      <c r="F1132">
        <v>35.729999999999997</v>
      </c>
    </row>
    <row r="1133" spans="1:6">
      <c r="A1133">
        <v>5512</v>
      </c>
      <c r="B1133" t="s">
        <v>446</v>
      </c>
      <c r="C1133">
        <v>8.73</v>
      </c>
      <c r="D1133">
        <f>VLOOKUP(A1133,收盤價!A:C,3,0)</f>
        <v>10</v>
      </c>
      <c r="E1133" s="188">
        <v>0.14547537227949595</v>
      </c>
      <c r="F1133">
        <v>40.03</v>
      </c>
    </row>
    <row r="1134" spans="1:6">
      <c r="A1134">
        <v>5514</v>
      </c>
      <c r="B1134" t="s">
        <v>1694</v>
      </c>
      <c r="C1134">
        <v>11.25</v>
      </c>
      <c r="D1134">
        <f>VLOOKUP(A1134,收盤價!A:C,3,0)</f>
        <v>11.3</v>
      </c>
      <c r="E1134" s="188">
        <v>4.4444444444445078E-3</v>
      </c>
      <c r="F1134">
        <v>13.01</v>
      </c>
    </row>
    <row r="1135" spans="1:6">
      <c r="A1135">
        <v>5515</v>
      </c>
      <c r="B1135" t="s">
        <v>1247</v>
      </c>
      <c r="C1135">
        <v>8.4</v>
      </c>
      <c r="D1135">
        <f>VLOOKUP(A1135,收盤價!A:C,3,0)</f>
        <v>9.7100000000000009</v>
      </c>
      <c r="E1135" s="188">
        <v>0.15595238095238101</v>
      </c>
      <c r="F1135">
        <v>42.68</v>
      </c>
    </row>
    <row r="1136" spans="1:6">
      <c r="A1136">
        <v>5516</v>
      </c>
      <c r="B1136" t="s">
        <v>1695</v>
      </c>
      <c r="C1136">
        <v>10.050000000000001</v>
      </c>
      <c r="D1136">
        <f>VLOOKUP(A1136,收盤價!A:C,3,0)</f>
        <v>10.45</v>
      </c>
      <c r="E1136" s="188">
        <v>3.9800995024875475E-2</v>
      </c>
      <c r="F1136">
        <v>17.420000000000002</v>
      </c>
    </row>
    <row r="1137" spans="1:6">
      <c r="A1137">
        <v>5519</v>
      </c>
      <c r="B1137" t="s">
        <v>1248</v>
      </c>
      <c r="C1137">
        <v>13.3</v>
      </c>
      <c r="D1137">
        <f>VLOOKUP(A1137,收盤價!A:C,3,0)</f>
        <v>13.45</v>
      </c>
      <c r="E1137" s="188">
        <v>1.1278195488721696E-2</v>
      </c>
      <c r="F1137">
        <v>13.83</v>
      </c>
    </row>
    <row r="1138" spans="1:6">
      <c r="A1138">
        <v>5520</v>
      </c>
      <c r="B1138" t="s">
        <v>1696</v>
      </c>
      <c r="C1138">
        <v>24.2</v>
      </c>
      <c r="D1138">
        <f>VLOOKUP(A1138,收盤價!A:C,3,0)</f>
        <v>26.75</v>
      </c>
      <c r="E1138" s="188">
        <v>0.10537190082644632</v>
      </c>
      <c r="F1138">
        <v>30.49</v>
      </c>
    </row>
    <row r="1139" spans="1:6">
      <c r="A1139">
        <v>5521</v>
      </c>
      <c r="B1139" t="s">
        <v>1249</v>
      </c>
      <c r="C1139">
        <v>9.6</v>
      </c>
      <c r="D1139">
        <f>VLOOKUP(A1139,收盤價!A:C,3,0)</f>
        <v>11.6</v>
      </c>
      <c r="E1139" s="188">
        <v>0.20833333333333334</v>
      </c>
      <c r="F1139">
        <v>54.73</v>
      </c>
    </row>
    <row r="1140" spans="1:6">
      <c r="A1140">
        <v>5522</v>
      </c>
      <c r="B1140" t="s">
        <v>1250</v>
      </c>
      <c r="C1140">
        <v>27.55</v>
      </c>
      <c r="D1140">
        <f>VLOOKUP(A1140,收盤價!A:C,3,0)</f>
        <v>35.799999999999997</v>
      </c>
      <c r="E1140" s="188">
        <v>0.29945553539019948</v>
      </c>
      <c r="F1140">
        <v>71.72</v>
      </c>
    </row>
    <row r="1141" spans="1:6">
      <c r="A1141">
        <v>5523</v>
      </c>
      <c r="B1141" t="s">
        <v>447</v>
      </c>
      <c r="C1141">
        <v>9.89</v>
      </c>
      <c r="D1141">
        <f>VLOOKUP(A1141,收盤價!A:C,3,0)</f>
        <v>8.27</v>
      </c>
      <c r="E1141" s="188">
        <v>-0.16380182002022253</v>
      </c>
      <c r="F1141">
        <v>3.91</v>
      </c>
    </row>
    <row r="1142" spans="1:6">
      <c r="A1142">
        <v>5525</v>
      </c>
      <c r="B1142" t="s">
        <v>1251</v>
      </c>
      <c r="C1142">
        <v>16.399999999999999</v>
      </c>
      <c r="D1142">
        <f>VLOOKUP(A1142,收盤價!A:C,3,0)</f>
        <v>16.100000000000001</v>
      </c>
      <c r="E1142" s="188">
        <v>-1.8292682926829097E-2</v>
      </c>
      <c r="F1142">
        <v>10.29</v>
      </c>
    </row>
    <row r="1143" spans="1:6">
      <c r="A1143">
        <v>5529</v>
      </c>
      <c r="B1143" t="s">
        <v>1697</v>
      </c>
      <c r="C1143">
        <v>6.8</v>
      </c>
      <c r="D1143">
        <f>VLOOKUP(A1143,收盤價!A:C,3,0)</f>
        <v>8.84</v>
      </c>
      <c r="E1143" s="188">
        <v>0.3</v>
      </c>
      <c r="F1143">
        <v>71.84</v>
      </c>
    </row>
    <row r="1144" spans="1:6">
      <c r="A1144">
        <v>5530</v>
      </c>
      <c r="B1144" t="s">
        <v>1698</v>
      </c>
      <c r="C1144">
        <v>53.3</v>
      </c>
      <c r="D1144">
        <f>VLOOKUP(A1144,收盤價!A:C,3,0)</f>
        <v>64.099999999999994</v>
      </c>
      <c r="E1144" s="188">
        <v>0.20262664165103186</v>
      </c>
      <c r="F1144">
        <v>53.66</v>
      </c>
    </row>
    <row r="1145" spans="1:6">
      <c r="A1145">
        <v>5531</v>
      </c>
      <c r="B1145" t="s">
        <v>1252</v>
      </c>
      <c r="C1145">
        <v>9.6300000000000008</v>
      </c>
      <c r="D1145">
        <f>VLOOKUP(A1145,收盤價!A:C,3,0)</f>
        <v>11.95</v>
      </c>
      <c r="E1145" s="188">
        <v>0.24091381100726877</v>
      </c>
      <c r="F1145">
        <v>61.55</v>
      </c>
    </row>
    <row r="1146" spans="1:6">
      <c r="A1146">
        <v>5533</v>
      </c>
      <c r="B1146" t="s">
        <v>1253</v>
      </c>
      <c r="C1146">
        <v>15.85</v>
      </c>
      <c r="D1146">
        <f>VLOOKUP(A1146,收盤價!A:C,3,0)</f>
        <v>17.05</v>
      </c>
      <c r="E1146" s="188">
        <v>7.5709779179810796E-2</v>
      </c>
      <c r="F1146">
        <v>23.8</v>
      </c>
    </row>
    <row r="1147" spans="1:6">
      <c r="A1147">
        <v>5534</v>
      </c>
      <c r="B1147" t="s">
        <v>1254</v>
      </c>
      <c r="C1147">
        <v>43.75</v>
      </c>
      <c r="D1147">
        <f>VLOOKUP(A1147,收盤價!A:C,3,0)</f>
        <v>41.3</v>
      </c>
      <c r="E1147" s="188">
        <v>-5.6000000000000064E-2</v>
      </c>
      <c r="F1147">
        <v>7.32</v>
      </c>
    </row>
    <row r="1148" spans="1:6">
      <c r="A1148">
        <v>5536</v>
      </c>
      <c r="B1148" t="s">
        <v>448</v>
      </c>
      <c r="C1148">
        <v>71.5</v>
      </c>
      <c r="D1148">
        <f>VLOOKUP(A1148,收盤價!A:C,3,0)</f>
        <v>92.2</v>
      </c>
      <c r="E1148" s="188">
        <v>0.28951048951048958</v>
      </c>
      <c r="F1148">
        <v>69.95</v>
      </c>
    </row>
    <row r="1149" spans="1:6">
      <c r="A1149">
        <v>5538</v>
      </c>
      <c r="B1149" t="s">
        <v>1255</v>
      </c>
      <c r="C1149">
        <v>24.2</v>
      </c>
      <c r="D1149">
        <f>VLOOKUP(A1149,收盤價!A:C,3,0)</f>
        <v>27.2</v>
      </c>
      <c r="E1149" s="188">
        <v>0.12396694214876033</v>
      </c>
      <c r="F1149">
        <v>35.479999999999997</v>
      </c>
    </row>
    <row r="1150" spans="1:6">
      <c r="A1150">
        <v>5601</v>
      </c>
      <c r="B1150" t="s">
        <v>1699</v>
      </c>
      <c r="C1150">
        <v>25.5</v>
      </c>
      <c r="D1150">
        <f>VLOOKUP(A1150,收盤價!A:C,3,0)</f>
        <v>0</v>
      </c>
      <c r="E1150" s="188">
        <v>-1</v>
      </c>
      <c r="F1150">
        <v>2.84</v>
      </c>
    </row>
    <row r="1151" spans="1:6">
      <c r="A1151">
        <v>5603</v>
      </c>
      <c r="B1151" t="s">
        <v>449</v>
      </c>
      <c r="C1151">
        <v>15.2</v>
      </c>
      <c r="D1151">
        <f>VLOOKUP(A1151,收盤價!A:C,3,0)</f>
        <v>15.6</v>
      </c>
      <c r="E1151" s="188">
        <v>2.6315789473684237E-2</v>
      </c>
      <c r="F1151">
        <v>15.66</v>
      </c>
    </row>
    <row r="1152" spans="1:6">
      <c r="A1152">
        <v>5604</v>
      </c>
      <c r="B1152" t="s">
        <v>1700</v>
      </c>
      <c r="C1152">
        <v>34.9</v>
      </c>
      <c r="D1152">
        <f>VLOOKUP(A1152,收盤價!A:C,3,0)</f>
        <v>35.700000000000003</v>
      </c>
      <c r="E1152" s="188">
        <v>2.2922636103151987E-2</v>
      </c>
      <c r="F1152">
        <v>15.34</v>
      </c>
    </row>
    <row r="1153" spans="1:6">
      <c r="A1153">
        <v>5607</v>
      </c>
      <c r="B1153" t="s">
        <v>1256</v>
      </c>
      <c r="C1153">
        <v>14.75</v>
      </c>
      <c r="D1153">
        <f>VLOOKUP(A1153,收盤價!A:C,3,0)</f>
        <v>15.75</v>
      </c>
      <c r="E1153" s="188">
        <v>6.7796610169491525E-2</v>
      </c>
      <c r="F1153">
        <v>21.97</v>
      </c>
    </row>
    <row r="1154" spans="1:6">
      <c r="A1154">
        <v>5608</v>
      </c>
      <c r="B1154" t="s">
        <v>1257</v>
      </c>
      <c r="C1154">
        <v>12.25</v>
      </c>
      <c r="D1154">
        <f>VLOOKUP(A1154,收盤價!A:C,3,0)</f>
        <v>13.45</v>
      </c>
      <c r="E1154" s="188">
        <v>9.7959183673469327E-2</v>
      </c>
      <c r="F1154">
        <v>29.1</v>
      </c>
    </row>
    <row r="1155" spans="1:6">
      <c r="A1155">
        <v>5609</v>
      </c>
      <c r="B1155" t="s">
        <v>450</v>
      </c>
      <c r="C1155">
        <v>15.8</v>
      </c>
      <c r="D1155">
        <f>VLOOKUP(A1155,收盤價!A:C,3,0)</f>
        <v>18</v>
      </c>
      <c r="E1155" s="188">
        <v>0.13924050632911386</v>
      </c>
      <c r="F1155">
        <v>38.64</v>
      </c>
    </row>
    <row r="1156" spans="1:6">
      <c r="A1156">
        <v>5701</v>
      </c>
      <c r="B1156" t="s">
        <v>1701</v>
      </c>
      <c r="C1156">
        <v>2.69</v>
      </c>
      <c r="D1156">
        <f>VLOOKUP(A1156,收盤價!A:C,3,0)</f>
        <v>3.47</v>
      </c>
      <c r="E1156" s="188">
        <v>0.28996282527881051</v>
      </c>
      <c r="F1156">
        <v>70.08</v>
      </c>
    </row>
    <row r="1157" spans="1:6">
      <c r="A1157">
        <v>5703</v>
      </c>
      <c r="B1157" t="s">
        <v>1702</v>
      </c>
      <c r="C1157">
        <v>20.75</v>
      </c>
      <c r="D1157">
        <f>VLOOKUP(A1157,收盤價!A:C,3,0)</f>
        <v>0</v>
      </c>
      <c r="E1157" s="188">
        <v>-1</v>
      </c>
      <c r="F1157">
        <v>2.9</v>
      </c>
    </row>
    <row r="1158" spans="1:6">
      <c r="A1158">
        <v>5704</v>
      </c>
      <c r="B1158" t="s">
        <v>1703</v>
      </c>
      <c r="C1158">
        <v>25.5</v>
      </c>
      <c r="D1158">
        <f>VLOOKUP(A1158,收盤價!A:C,3,0)</f>
        <v>27.2</v>
      </c>
      <c r="E1158" s="188">
        <v>6.6666666666666638E-2</v>
      </c>
      <c r="F1158">
        <v>21.91</v>
      </c>
    </row>
    <row r="1159" spans="1:6">
      <c r="A1159">
        <v>5706</v>
      </c>
      <c r="B1159" t="s">
        <v>1258</v>
      </c>
      <c r="C1159">
        <v>34.200000000000003</v>
      </c>
      <c r="D1159">
        <f>VLOOKUP(A1159,收盤價!A:C,3,0)</f>
        <v>39.6</v>
      </c>
      <c r="E1159" s="188">
        <v>0.1578947368421052</v>
      </c>
      <c r="F1159">
        <v>43.24</v>
      </c>
    </row>
    <row r="1160" spans="1:6">
      <c r="A1160">
        <v>5820</v>
      </c>
      <c r="B1160" t="s">
        <v>1704</v>
      </c>
      <c r="C1160">
        <v>6.8</v>
      </c>
      <c r="D1160">
        <f>VLOOKUP(A1160,收盤價!A:C,3,0)</f>
        <v>7.37</v>
      </c>
      <c r="E1160" s="188">
        <v>8.3823529411764755E-2</v>
      </c>
      <c r="F1160">
        <v>25.95</v>
      </c>
    </row>
    <row r="1161" spans="1:6">
      <c r="A1161">
        <v>5871</v>
      </c>
      <c r="B1161" t="s">
        <v>1259</v>
      </c>
      <c r="C1161">
        <v>45.9</v>
      </c>
      <c r="D1161">
        <f>VLOOKUP(A1161,收盤價!A:C,3,0)</f>
        <v>58.5</v>
      </c>
      <c r="E1161" s="188">
        <v>0.27450980392156865</v>
      </c>
      <c r="F1161">
        <v>67.55</v>
      </c>
    </row>
    <row r="1162" spans="1:6">
      <c r="A1162">
        <v>5878</v>
      </c>
      <c r="B1162" t="s">
        <v>451</v>
      </c>
      <c r="C1162">
        <v>41.8</v>
      </c>
      <c r="D1162">
        <f>VLOOKUP(A1162,收盤價!A:C,3,0)</f>
        <v>44.95</v>
      </c>
      <c r="E1162" s="188">
        <v>7.5358851674641292E-2</v>
      </c>
      <c r="F1162">
        <v>23.67</v>
      </c>
    </row>
    <row r="1163" spans="1:6">
      <c r="A1163">
        <v>5880</v>
      </c>
      <c r="B1163" t="s">
        <v>1260</v>
      </c>
      <c r="C1163">
        <v>12.85</v>
      </c>
      <c r="D1163">
        <f>VLOOKUP(A1163,收盤價!A:C,3,0)</f>
        <v>14</v>
      </c>
      <c r="E1163" s="188">
        <v>8.9494163424124543E-2</v>
      </c>
      <c r="F1163">
        <v>27.4</v>
      </c>
    </row>
    <row r="1164" spans="1:6">
      <c r="A1164">
        <v>5902</v>
      </c>
      <c r="B1164" t="s">
        <v>452</v>
      </c>
      <c r="C1164">
        <v>10.3</v>
      </c>
      <c r="D1164">
        <f>VLOOKUP(A1164,收盤價!A:C,3,0)</f>
        <v>9.8000000000000007</v>
      </c>
      <c r="E1164" s="188">
        <v>-4.8543689320388349E-2</v>
      </c>
      <c r="F1164">
        <v>8.02</v>
      </c>
    </row>
    <row r="1165" spans="1:6">
      <c r="A1165">
        <v>5903</v>
      </c>
      <c r="B1165" t="s">
        <v>1705</v>
      </c>
      <c r="C1165">
        <v>217</v>
      </c>
      <c r="D1165">
        <f>VLOOKUP(A1165,收盤價!A:C,3,0)</f>
        <v>209</v>
      </c>
      <c r="E1165" s="188">
        <v>-3.6866359447004608E-2</v>
      </c>
      <c r="F1165">
        <v>8.7799999999999994</v>
      </c>
    </row>
    <row r="1166" spans="1:6">
      <c r="A1166">
        <v>5904</v>
      </c>
      <c r="B1166" t="s">
        <v>453</v>
      </c>
      <c r="C1166">
        <v>318</v>
      </c>
      <c r="D1166">
        <f>VLOOKUP(A1166,收盤價!A:C,3,0)</f>
        <v>358</v>
      </c>
      <c r="E1166" s="188">
        <v>0.12578616352201258</v>
      </c>
      <c r="F1166">
        <v>35.799999999999997</v>
      </c>
    </row>
    <row r="1167" spans="1:6">
      <c r="A1167">
        <v>5905</v>
      </c>
      <c r="B1167" t="s">
        <v>1706</v>
      </c>
      <c r="C1167">
        <v>8.73</v>
      </c>
      <c r="D1167">
        <f>VLOOKUP(A1167,收盤價!A:C,3,0)</f>
        <v>8.8699999999999992</v>
      </c>
      <c r="E1167" s="188">
        <v>1.6036655211912804E-2</v>
      </c>
      <c r="F1167">
        <v>14.33</v>
      </c>
    </row>
    <row r="1168" spans="1:6">
      <c r="A1168">
        <v>5906</v>
      </c>
      <c r="B1168" t="s">
        <v>1261</v>
      </c>
      <c r="C1168">
        <v>2.4300000000000002</v>
      </c>
      <c r="D1168">
        <f>VLOOKUP(A1168,收盤價!A:C,3,0)</f>
        <v>2.7</v>
      </c>
      <c r="E1168" s="188">
        <v>0.1111111111111111</v>
      </c>
      <c r="F1168">
        <v>31.88</v>
      </c>
    </row>
    <row r="1169" spans="1:6">
      <c r="A1169">
        <v>5907</v>
      </c>
      <c r="B1169" t="s">
        <v>1262</v>
      </c>
      <c r="C1169">
        <v>28</v>
      </c>
      <c r="D1169">
        <f>VLOOKUP(A1169,收盤價!A:C,3,0)</f>
        <v>35.799999999999997</v>
      </c>
      <c r="E1169" s="188">
        <v>0.27857142857142847</v>
      </c>
      <c r="F1169">
        <v>68.31</v>
      </c>
    </row>
    <row r="1170" spans="1:6">
      <c r="A1170">
        <v>6005</v>
      </c>
      <c r="B1170" t="s">
        <v>1263</v>
      </c>
      <c r="C1170">
        <v>7.66</v>
      </c>
      <c r="D1170">
        <f>VLOOKUP(A1170,收盤價!A:C,3,0)</f>
        <v>9.66</v>
      </c>
      <c r="E1170" s="188">
        <v>0.2610966057441253</v>
      </c>
      <c r="F1170">
        <v>65.209999999999994</v>
      </c>
    </row>
    <row r="1171" spans="1:6">
      <c r="A1171">
        <v>6015</v>
      </c>
      <c r="B1171" t="s">
        <v>1707</v>
      </c>
      <c r="C1171">
        <v>4.83</v>
      </c>
      <c r="D1171">
        <f>VLOOKUP(A1171,收盤價!A:C,3,0)</f>
        <v>6.6</v>
      </c>
      <c r="E1171" s="188">
        <v>0.36645962732919246</v>
      </c>
      <c r="F1171">
        <v>81.19</v>
      </c>
    </row>
    <row r="1172" spans="1:6">
      <c r="A1172">
        <v>6016</v>
      </c>
      <c r="B1172" t="s">
        <v>1708</v>
      </c>
      <c r="C1172">
        <v>5.7</v>
      </c>
      <c r="D1172">
        <f>VLOOKUP(A1172,收盤價!A:C,3,0)</f>
        <v>6.57</v>
      </c>
      <c r="E1172" s="188">
        <v>0.15263157894736842</v>
      </c>
      <c r="F1172">
        <v>41.67</v>
      </c>
    </row>
    <row r="1173" spans="1:6">
      <c r="A1173">
        <v>6020</v>
      </c>
      <c r="B1173" t="s">
        <v>454</v>
      </c>
      <c r="C1173">
        <v>10.7</v>
      </c>
      <c r="D1173">
        <f>VLOOKUP(A1173,收盤價!A:C,3,0)</f>
        <v>13.7</v>
      </c>
      <c r="E1173" s="188">
        <v>0.28037383177570097</v>
      </c>
      <c r="F1173">
        <v>68.56</v>
      </c>
    </row>
    <row r="1174" spans="1:6">
      <c r="A1174">
        <v>6021</v>
      </c>
      <c r="B1174" t="s">
        <v>455</v>
      </c>
      <c r="C1174">
        <v>8.4600000000000009</v>
      </c>
      <c r="D1174">
        <f>VLOOKUP(A1174,收盤價!A:C,3,0)</f>
        <v>11.55</v>
      </c>
      <c r="E1174" s="188">
        <v>0.36524822695035458</v>
      </c>
      <c r="F1174">
        <v>80.930000000000007</v>
      </c>
    </row>
    <row r="1175" spans="1:6">
      <c r="A1175">
        <v>6022</v>
      </c>
      <c r="B1175" t="s">
        <v>1709</v>
      </c>
      <c r="C1175">
        <v>7.7</v>
      </c>
      <c r="D1175">
        <f>VLOOKUP(A1175,收盤價!A:C,3,0)</f>
        <v>10.1</v>
      </c>
      <c r="E1175" s="188">
        <v>0.31168831168831163</v>
      </c>
      <c r="F1175">
        <v>73.739999999999995</v>
      </c>
    </row>
    <row r="1176" spans="1:6">
      <c r="A1176">
        <v>6023</v>
      </c>
      <c r="B1176" t="s">
        <v>1710</v>
      </c>
      <c r="C1176">
        <v>32.299999999999997</v>
      </c>
      <c r="D1176">
        <f>VLOOKUP(A1176,收盤價!A:C,3,0)</f>
        <v>34.85</v>
      </c>
      <c r="E1176" s="188">
        <v>7.8947368421052766E-2</v>
      </c>
      <c r="F1176">
        <v>24.37</v>
      </c>
    </row>
    <row r="1177" spans="1:6">
      <c r="A1177">
        <v>6024</v>
      </c>
      <c r="B1177" t="s">
        <v>456</v>
      </c>
      <c r="C1177">
        <v>24.35</v>
      </c>
      <c r="D1177">
        <f>VLOOKUP(A1177,收盤價!A:C,3,0)</f>
        <v>28.55</v>
      </c>
      <c r="E1177" s="188">
        <v>0.17248459958932233</v>
      </c>
      <c r="F1177">
        <v>46.15</v>
      </c>
    </row>
    <row r="1178" spans="1:6">
      <c r="A1178">
        <v>6101</v>
      </c>
      <c r="B1178" t="s">
        <v>1711</v>
      </c>
      <c r="C1178">
        <v>13.9</v>
      </c>
      <c r="D1178">
        <f>VLOOKUP(A1178,收盤價!A:C,3,0)</f>
        <v>14.95</v>
      </c>
      <c r="E1178" s="188">
        <v>7.553956834532366E-2</v>
      </c>
      <c r="F1178">
        <v>23.74</v>
      </c>
    </row>
    <row r="1179" spans="1:6">
      <c r="A1179">
        <v>6103</v>
      </c>
      <c r="B1179" t="s">
        <v>1712</v>
      </c>
      <c r="C1179">
        <v>6.27</v>
      </c>
      <c r="D1179">
        <f>VLOOKUP(A1179,收盤價!A:C,3,0)</f>
        <v>7.49</v>
      </c>
      <c r="E1179" s="188">
        <v>0.19457735247208943</v>
      </c>
      <c r="F1179">
        <v>51.64</v>
      </c>
    </row>
    <row r="1180" spans="1:6">
      <c r="A1180">
        <v>6104</v>
      </c>
      <c r="B1180" t="s">
        <v>1713</v>
      </c>
      <c r="C1180">
        <v>28.9</v>
      </c>
      <c r="D1180">
        <f>VLOOKUP(A1180,收盤價!A:C,3,0)</f>
        <v>37.5</v>
      </c>
      <c r="E1180" s="188">
        <v>0.29757785467128034</v>
      </c>
      <c r="F1180">
        <v>71.209999999999994</v>
      </c>
    </row>
    <row r="1181" spans="1:6">
      <c r="A1181">
        <v>6105</v>
      </c>
      <c r="B1181" t="s">
        <v>1714</v>
      </c>
      <c r="C1181">
        <v>37.5</v>
      </c>
      <c r="D1181">
        <f>VLOOKUP(A1181,收盤價!A:C,3,0)</f>
        <v>41.5</v>
      </c>
      <c r="E1181" s="188">
        <v>0.10666666666666667</v>
      </c>
      <c r="F1181">
        <v>30.81</v>
      </c>
    </row>
    <row r="1182" spans="1:6">
      <c r="A1182">
        <v>6107</v>
      </c>
      <c r="B1182" t="s">
        <v>1715</v>
      </c>
      <c r="C1182">
        <v>70.400000000000006</v>
      </c>
      <c r="D1182">
        <f>VLOOKUP(A1182,收盤價!A:C,3,0)</f>
        <v>77.400000000000006</v>
      </c>
      <c r="E1182" s="188">
        <v>9.9431818181818177E-2</v>
      </c>
      <c r="F1182">
        <v>29.48</v>
      </c>
    </row>
    <row r="1183" spans="1:6">
      <c r="A1183">
        <v>6108</v>
      </c>
      <c r="B1183" t="s">
        <v>1264</v>
      </c>
      <c r="C1183">
        <v>11.3</v>
      </c>
      <c r="D1183">
        <f>VLOOKUP(A1183,收盤價!A:C,3,0)</f>
        <v>12.95</v>
      </c>
      <c r="E1183" s="188">
        <v>0.14601769911504411</v>
      </c>
      <c r="F1183">
        <v>40.15</v>
      </c>
    </row>
    <row r="1184" spans="1:6">
      <c r="A1184">
        <v>6109</v>
      </c>
      <c r="B1184" t="s">
        <v>1716</v>
      </c>
      <c r="C1184">
        <v>11.5</v>
      </c>
      <c r="D1184">
        <f>VLOOKUP(A1184,收盤價!A:C,3,0)</f>
        <v>13.7</v>
      </c>
      <c r="E1184" s="188">
        <v>0.19130434782608691</v>
      </c>
      <c r="F1184">
        <v>50.95</v>
      </c>
    </row>
    <row r="1185" spans="1:6">
      <c r="A1185">
        <v>6111</v>
      </c>
      <c r="B1185" t="s">
        <v>1717</v>
      </c>
      <c r="C1185">
        <v>64.8</v>
      </c>
      <c r="D1185">
        <f>VLOOKUP(A1185,收盤價!A:C,3,0)</f>
        <v>86.5</v>
      </c>
      <c r="E1185" s="188">
        <v>0.33487654320987659</v>
      </c>
      <c r="F1185">
        <v>76.959999999999994</v>
      </c>
    </row>
    <row r="1186" spans="1:6">
      <c r="A1186">
        <v>6112</v>
      </c>
      <c r="B1186" t="s">
        <v>1265</v>
      </c>
      <c r="C1186">
        <v>25</v>
      </c>
      <c r="D1186">
        <f>VLOOKUP(A1186,收盤價!A:C,3,0)</f>
        <v>27.9</v>
      </c>
      <c r="E1186" s="188">
        <v>0.11599999999999994</v>
      </c>
      <c r="F1186">
        <v>33.21</v>
      </c>
    </row>
    <row r="1187" spans="1:6">
      <c r="A1187">
        <v>6113</v>
      </c>
      <c r="B1187" t="s">
        <v>1718</v>
      </c>
      <c r="C1187">
        <v>8.7799999999999994</v>
      </c>
      <c r="D1187">
        <f>VLOOKUP(A1187,收盤價!A:C,3,0)</f>
        <v>8.3699999999999992</v>
      </c>
      <c r="E1187" s="188">
        <v>-4.6697038724373599E-2</v>
      </c>
      <c r="F1187">
        <v>8.14</v>
      </c>
    </row>
    <row r="1188" spans="1:6">
      <c r="A1188">
        <v>6114</v>
      </c>
      <c r="B1188" t="s">
        <v>1867</v>
      </c>
      <c r="C1188">
        <v>33.4</v>
      </c>
      <c r="D1188">
        <f>VLOOKUP(A1188,收盤價!A:C,3,0)</f>
        <v>58.5</v>
      </c>
      <c r="E1188" s="188">
        <v>0.75149700598802405</v>
      </c>
      <c r="F1188">
        <v>97.16</v>
      </c>
    </row>
    <row r="1189" spans="1:6">
      <c r="A1189">
        <v>6115</v>
      </c>
      <c r="B1189" t="s">
        <v>1266</v>
      </c>
      <c r="C1189">
        <v>26.85</v>
      </c>
      <c r="D1189">
        <f>VLOOKUP(A1189,收盤價!A:C,3,0)</f>
        <v>32.5</v>
      </c>
      <c r="E1189" s="188">
        <v>0.21042830540037238</v>
      </c>
      <c r="F1189">
        <v>55.37</v>
      </c>
    </row>
    <row r="1190" spans="1:6">
      <c r="A1190">
        <v>6116</v>
      </c>
      <c r="B1190" t="s">
        <v>1267</v>
      </c>
      <c r="C1190">
        <v>2.65</v>
      </c>
      <c r="D1190">
        <f>VLOOKUP(A1190,收盤價!A:C,3,0)</f>
        <v>3.79</v>
      </c>
      <c r="E1190" s="188">
        <v>0.43018867924528309</v>
      </c>
      <c r="F1190">
        <v>86.43</v>
      </c>
    </row>
    <row r="1191" spans="1:6">
      <c r="A1191">
        <v>6117</v>
      </c>
      <c r="B1191" t="s">
        <v>1268</v>
      </c>
      <c r="C1191">
        <v>11.45</v>
      </c>
      <c r="D1191">
        <f>VLOOKUP(A1191,收盤價!A:C,3,0)</f>
        <v>14.5</v>
      </c>
      <c r="E1191" s="188">
        <v>0.26637554585152845</v>
      </c>
      <c r="F1191">
        <v>66.040000000000006</v>
      </c>
    </row>
    <row r="1192" spans="1:6">
      <c r="A1192">
        <v>6118</v>
      </c>
      <c r="B1192" t="s">
        <v>1720</v>
      </c>
      <c r="C1192">
        <v>7</v>
      </c>
      <c r="D1192">
        <f>VLOOKUP(A1192,收盤價!A:C,3,0)</f>
        <v>7.82</v>
      </c>
      <c r="E1192" s="188">
        <v>0.11714285714285719</v>
      </c>
      <c r="F1192">
        <v>33.46</v>
      </c>
    </row>
    <row r="1193" spans="1:6">
      <c r="A1193">
        <v>6120</v>
      </c>
      <c r="B1193" t="s">
        <v>1269</v>
      </c>
      <c r="C1193">
        <v>10.45</v>
      </c>
      <c r="D1193">
        <f>VLOOKUP(A1193,收盤價!A:C,3,0)</f>
        <v>11.6</v>
      </c>
      <c r="E1193" s="188">
        <v>0.1100478468899522</v>
      </c>
      <c r="F1193">
        <v>31.57</v>
      </c>
    </row>
    <row r="1194" spans="1:6">
      <c r="A1194">
        <v>6121</v>
      </c>
      <c r="B1194" t="s">
        <v>457</v>
      </c>
      <c r="C1194">
        <v>99.6</v>
      </c>
      <c r="D1194">
        <f>VLOOKUP(A1194,收盤價!A:C,3,0)</f>
        <v>114</v>
      </c>
      <c r="E1194" s="188">
        <v>0.14457831325301213</v>
      </c>
      <c r="F1194">
        <v>39.71</v>
      </c>
    </row>
    <row r="1195" spans="1:6">
      <c r="A1195">
        <v>6122</v>
      </c>
      <c r="B1195" t="s">
        <v>1721</v>
      </c>
      <c r="C1195">
        <v>5.98</v>
      </c>
      <c r="D1195">
        <f>VLOOKUP(A1195,收盤價!A:C,3,0)</f>
        <v>6.78</v>
      </c>
      <c r="E1195" s="188">
        <v>0.13377926421404679</v>
      </c>
      <c r="F1195">
        <v>37.56</v>
      </c>
    </row>
    <row r="1196" spans="1:6">
      <c r="A1196">
        <v>6123</v>
      </c>
      <c r="B1196" t="s">
        <v>1722</v>
      </c>
      <c r="C1196">
        <v>21</v>
      </c>
      <c r="D1196">
        <f>VLOOKUP(A1196,收盤價!A:C,3,0)</f>
        <v>26</v>
      </c>
      <c r="E1196" s="188">
        <v>0.23809523809523808</v>
      </c>
      <c r="F1196">
        <v>61.11</v>
      </c>
    </row>
    <row r="1197" spans="1:6">
      <c r="A1197">
        <v>6124</v>
      </c>
      <c r="B1197" t="s">
        <v>1723</v>
      </c>
      <c r="C1197">
        <v>21.5</v>
      </c>
      <c r="D1197">
        <f>VLOOKUP(A1197,收盤價!A:C,3,0)</f>
        <v>24.15</v>
      </c>
      <c r="E1197" s="188">
        <v>0.12325581395348831</v>
      </c>
      <c r="F1197">
        <v>35.229999999999997</v>
      </c>
    </row>
    <row r="1198" spans="1:6">
      <c r="A1198">
        <v>6125</v>
      </c>
      <c r="B1198" t="s">
        <v>458</v>
      </c>
      <c r="C1198">
        <v>9.25</v>
      </c>
      <c r="D1198">
        <f>VLOOKUP(A1198,收盤價!A:C,3,0)</f>
        <v>12.25</v>
      </c>
      <c r="E1198" s="188">
        <v>0.32432432432432434</v>
      </c>
      <c r="F1198">
        <v>75.569999999999993</v>
      </c>
    </row>
    <row r="1199" spans="1:6">
      <c r="A1199">
        <v>6126</v>
      </c>
      <c r="B1199" t="s">
        <v>1724</v>
      </c>
      <c r="C1199">
        <v>7.5</v>
      </c>
      <c r="D1199">
        <f>VLOOKUP(A1199,收盤價!A:C,3,0)</f>
        <v>7.63</v>
      </c>
      <c r="E1199" s="188">
        <v>1.7333333333333319E-2</v>
      </c>
      <c r="F1199">
        <v>14.58</v>
      </c>
    </row>
    <row r="1200" spans="1:6">
      <c r="A1200">
        <v>6127</v>
      </c>
      <c r="B1200" t="s">
        <v>1725</v>
      </c>
      <c r="C1200">
        <v>8.6999999999999993</v>
      </c>
      <c r="D1200">
        <f>VLOOKUP(A1200,收盤價!A:C,3,0)</f>
        <v>10.6</v>
      </c>
      <c r="E1200" s="188">
        <v>0.21839080459770122</v>
      </c>
      <c r="F1200">
        <v>57.39</v>
      </c>
    </row>
    <row r="1201" spans="1:6">
      <c r="A1201">
        <v>6128</v>
      </c>
      <c r="B1201" t="s">
        <v>1270</v>
      </c>
      <c r="C1201">
        <v>30</v>
      </c>
      <c r="D1201">
        <f>VLOOKUP(A1201,收盤價!A:C,3,0)</f>
        <v>34.450000000000003</v>
      </c>
      <c r="E1201" s="188">
        <v>0.14833333333333343</v>
      </c>
      <c r="F1201">
        <v>40.659999999999997</v>
      </c>
    </row>
    <row r="1202" spans="1:6">
      <c r="A1202">
        <v>6129</v>
      </c>
      <c r="B1202" t="s">
        <v>1726</v>
      </c>
      <c r="C1202">
        <v>5.27</v>
      </c>
      <c r="D1202">
        <f>VLOOKUP(A1202,收盤價!A:C,3,0)</f>
        <v>7.09</v>
      </c>
      <c r="E1202" s="188">
        <v>0.34535104364326386</v>
      </c>
      <c r="F1202">
        <v>78.41</v>
      </c>
    </row>
    <row r="1203" spans="1:6">
      <c r="A1203">
        <v>6130</v>
      </c>
      <c r="B1203" t="s">
        <v>459</v>
      </c>
      <c r="C1203">
        <v>23.65</v>
      </c>
      <c r="D1203">
        <f>VLOOKUP(A1203,收盤價!A:C,3,0)</f>
        <v>32</v>
      </c>
      <c r="E1203" s="188">
        <v>0.3530655391120508</v>
      </c>
      <c r="F1203">
        <v>79.290000000000006</v>
      </c>
    </row>
    <row r="1204" spans="1:6">
      <c r="A1204">
        <v>6131</v>
      </c>
      <c r="B1204" t="s">
        <v>1271</v>
      </c>
      <c r="C1204">
        <v>23.45</v>
      </c>
      <c r="D1204">
        <f>VLOOKUP(A1204,收盤價!A:C,3,0)</f>
        <v>22.6</v>
      </c>
      <c r="E1204" s="188">
        <v>-3.6247334754797349E-2</v>
      </c>
      <c r="F1204">
        <v>8.84</v>
      </c>
    </row>
    <row r="1205" spans="1:6">
      <c r="A1205">
        <v>6133</v>
      </c>
      <c r="B1205" t="s">
        <v>1272</v>
      </c>
      <c r="C1205">
        <v>9.1199999999999992</v>
      </c>
      <c r="D1205">
        <f>VLOOKUP(A1205,收盤價!A:C,3,0)</f>
        <v>10.95</v>
      </c>
      <c r="E1205" s="188">
        <v>0.20065789473684212</v>
      </c>
      <c r="F1205">
        <v>53.09</v>
      </c>
    </row>
    <row r="1206" spans="1:6">
      <c r="A1206">
        <v>6134</v>
      </c>
      <c r="B1206" t="s">
        <v>1727</v>
      </c>
      <c r="C1206">
        <v>4.76</v>
      </c>
      <c r="D1206">
        <f>VLOOKUP(A1206,收盤價!A:C,3,0)</f>
        <v>6.48</v>
      </c>
      <c r="E1206" s="188">
        <v>0.36134453781512621</v>
      </c>
      <c r="F1206">
        <v>80.430000000000007</v>
      </c>
    </row>
    <row r="1207" spans="1:6">
      <c r="A1207">
        <v>6136</v>
      </c>
      <c r="B1207" t="s">
        <v>1273</v>
      </c>
      <c r="C1207">
        <v>21.3</v>
      </c>
      <c r="D1207">
        <f>VLOOKUP(A1207,收盤價!A:C,3,0)</f>
        <v>24.35</v>
      </c>
      <c r="E1207" s="188">
        <v>0.14319248826291084</v>
      </c>
      <c r="F1207">
        <v>39.33</v>
      </c>
    </row>
    <row r="1208" spans="1:6">
      <c r="A1208">
        <v>6138</v>
      </c>
      <c r="B1208" t="s">
        <v>1728</v>
      </c>
      <c r="C1208">
        <v>15.15</v>
      </c>
      <c r="D1208">
        <f>VLOOKUP(A1208,收盤價!A:C,3,0)</f>
        <v>20.85</v>
      </c>
      <c r="E1208" s="188">
        <v>0.37623762376237629</v>
      </c>
      <c r="F1208">
        <v>81.94</v>
      </c>
    </row>
    <row r="1209" spans="1:6">
      <c r="A1209">
        <v>6139</v>
      </c>
      <c r="B1209" t="s">
        <v>1274</v>
      </c>
      <c r="C1209">
        <v>15</v>
      </c>
      <c r="D1209">
        <f>VLOOKUP(A1209,收盤價!A:C,3,0)</f>
        <v>17.149999999999999</v>
      </c>
      <c r="E1209" s="188">
        <v>0.14333333333333323</v>
      </c>
      <c r="F1209">
        <v>39.520000000000003</v>
      </c>
    </row>
    <row r="1210" spans="1:6">
      <c r="A1210">
        <v>6140</v>
      </c>
      <c r="B1210" t="s">
        <v>1729</v>
      </c>
      <c r="C1210">
        <v>10.8</v>
      </c>
      <c r="D1210">
        <f>VLOOKUP(A1210,收盤價!A:C,3,0)</f>
        <v>11.2</v>
      </c>
      <c r="E1210" s="188">
        <v>3.7037037037036903E-2</v>
      </c>
      <c r="F1210">
        <v>17.170000000000002</v>
      </c>
    </row>
    <row r="1211" spans="1:6">
      <c r="A1211">
        <v>6141</v>
      </c>
      <c r="B1211" t="s">
        <v>1275</v>
      </c>
      <c r="C1211">
        <v>7.92</v>
      </c>
      <c r="D1211">
        <f>VLOOKUP(A1211,收盤價!A:C,3,0)</f>
        <v>8.25</v>
      </c>
      <c r="E1211" s="188">
        <v>4.1666666666666678E-2</v>
      </c>
      <c r="F1211">
        <v>17.739999999999998</v>
      </c>
    </row>
    <row r="1212" spans="1:6">
      <c r="A1212">
        <v>6142</v>
      </c>
      <c r="B1212" t="s">
        <v>1276</v>
      </c>
      <c r="C1212">
        <v>3.5</v>
      </c>
      <c r="D1212">
        <f>VLOOKUP(A1212,收盤價!A:C,3,0)</f>
        <v>4.57</v>
      </c>
      <c r="E1212" s="188">
        <v>0.30571428571428577</v>
      </c>
      <c r="F1212">
        <v>72.66</v>
      </c>
    </row>
    <row r="1213" spans="1:6">
      <c r="A1213">
        <v>6143</v>
      </c>
      <c r="B1213" t="s">
        <v>1730</v>
      </c>
      <c r="C1213">
        <v>46.2</v>
      </c>
      <c r="D1213">
        <f>VLOOKUP(A1213,收盤價!A:C,3,0)</f>
        <v>61.7</v>
      </c>
      <c r="E1213" s="188">
        <v>0.33549783549783546</v>
      </c>
      <c r="F1213">
        <v>77.150000000000006</v>
      </c>
    </row>
    <row r="1214" spans="1:6">
      <c r="A1214">
        <v>6144</v>
      </c>
      <c r="B1214" t="s">
        <v>1731</v>
      </c>
      <c r="C1214">
        <v>0</v>
      </c>
      <c r="F1214">
        <v>0.51</v>
      </c>
    </row>
    <row r="1215" spans="1:6">
      <c r="A1215">
        <v>6145</v>
      </c>
      <c r="B1215" t="s">
        <v>1277</v>
      </c>
      <c r="C1215">
        <v>10.5</v>
      </c>
      <c r="D1215">
        <f>VLOOKUP(A1215,收盤價!A:C,3,0)</f>
        <v>13.45</v>
      </c>
      <c r="E1215" s="188">
        <v>0.2809523809523809</v>
      </c>
      <c r="F1215">
        <v>68.81</v>
      </c>
    </row>
    <row r="1216" spans="1:6">
      <c r="A1216">
        <v>6146</v>
      </c>
      <c r="B1216" t="s">
        <v>460</v>
      </c>
      <c r="C1216">
        <v>180</v>
      </c>
      <c r="D1216">
        <f>VLOOKUP(A1216,收盤價!A:C,3,0)</f>
        <v>187.5</v>
      </c>
      <c r="E1216" s="188">
        <v>4.1666666666666664E-2</v>
      </c>
      <c r="F1216">
        <v>17.68</v>
      </c>
    </row>
    <row r="1217" spans="1:6">
      <c r="A1217">
        <v>6147</v>
      </c>
      <c r="B1217" t="s">
        <v>1732</v>
      </c>
      <c r="C1217">
        <v>40.85</v>
      </c>
      <c r="D1217">
        <f>VLOOKUP(A1217,收盤價!A:C,3,0)</f>
        <v>51</v>
      </c>
      <c r="E1217" s="188">
        <v>0.24847001223990203</v>
      </c>
      <c r="F1217">
        <v>62.88</v>
      </c>
    </row>
    <row r="1218" spans="1:6">
      <c r="A1218">
        <v>6148</v>
      </c>
      <c r="B1218" t="s">
        <v>1733</v>
      </c>
      <c r="C1218">
        <v>6.36</v>
      </c>
      <c r="D1218">
        <f>VLOOKUP(A1218,收盤價!A:C,3,0)</f>
        <v>7.7</v>
      </c>
      <c r="E1218" s="188">
        <v>0.21069182389937102</v>
      </c>
      <c r="F1218">
        <v>55.49</v>
      </c>
    </row>
    <row r="1219" spans="1:6">
      <c r="A1219">
        <v>6150</v>
      </c>
      <c r="B1219" t="s">
        <v>1734</v>
      </c>
      <c r="C1219">
        <v>4.5</v>
      </c>
      <c r="D1219">
        <f>VLOOKUP(A1219,收盤價!A:C,3,0)</f>
        <v>7.41</v>
      </c>
      <c r="E1219" s="188">
        <v>0.64666666666666672</v>
      </c>
      <c r="F1219">
        <v>95.45</v>
      </c>
    </row>
    <row r="1220" spans="1:6">
      <c r="A1220">
        <v>6151</v>
      </c>
      <c r="B1220" t="s">
        <v>1735</v>
      </c>
      <c r="C1220">
        <v>18.149999999999999</v>
      </c>
      <c r="D1220">
        <f>VLOOKUP(A1220,收盤價!A:C,3,0)</f>
        <v>22.05</v>
      </c>
      <c r="E1220" s="188">
        <v>0.21487603305785138</v>
      </c>
      <c r="F1220">
        <v>56.5</v>
      </c>
    </row>
    <row r="1221" spans="1:6">
      <c r="A1221">
        <v>6152</v>
      </c>
      <c r="B1221" t="s">
        <v>1278</v>
      </c>
      <c r="C1221">
        <v>5.9</v>
      </c>
      <c r="D1221">
        <f>VLOOKUP(A1221,收盤價!A:C,3,0)</f>
        <v>7.69</v>
      </c>
      <c r="E1221" s="188">
        <v>0.30338983050847457</v>
      </c>
      <c r="F1221">
        <v>72.22</v>
      </c>
    </row>
    <row r="1222" spans="1:6">
      <c r="A1222">
        <v>6153</v>
      </c>
      <c r="B1222" t="s">
        <v>1279</v>
      </c>
      <c r="C1222">
        <v>22.95</v>
      </c>
      <c r="D1222">
        <f>VLOOKUP(A1222,收盤價!A:C,3,0)</f>
        <v>26.1</v>
      </c>
      <c r="E1222" s="188">
        <v>0.13725490196078441</v>
      </c>
      <c r="F1222">
        <v>38.130000000000003</v>
      </c>
    </row>
    <row r="1223" spans="1:6">
      <c r="A1223">
        <v>6154</v>
      </c>
      <c r="B1223" t="s">
        <v>461</v>
      </c>
      <c r="C1223">
        <v>17.399999999999999</v>
      </c>
      <c r="D1223">
        <f>VLOOKUP(A1223,收盤價!A:C,3,0)</f>
        <v>16.8</v>
      </c>
      <c r="E1223" s="188">
        <v>-3.4482758620689537E-2</v>
      </c>
      <c r="F1223">
        <v>9.09</v>
      </c>
    </row>
    <row r="1224" spans="1:6">
      <c r="A1224">
        <v>6155</v>
      </c>
      <c r="B1224" t="s">
        <v>1280</v>
      </c>
      <c r="C1224">
        <v>15</v>
      </c>
      <c r="D1224">
        <f>VLOOKUP(A1224,收盤價!A:C,3,0)</f>
        <v>18</v>
      </c>
      <c r="E1224" s="188">
        <v>0.2</v>
      </c>
      <c r="F1224">
        <v>52.97</v>
      </c>
    </row>
    <row r="1225" spans="1:6">
      <c r="A1225">
        <v>6156</v>
      </c>
      <c r="B1225" t="s">
        <v>1868</v>
      </c>
      <c r="C1225">
        <v>7.9</v>
      </c>
      <c r="D1225">
        <f>VLOOKUP(A1225,收盤價!A:C,3,0)</f>
        <v>13.8</v>
      </c>
      <c r="E1225" s="188">
        <v>0.74683544303797467</v>
      </c>
      <c r="F1225">
        <v>97.1</v>
      </c>
    </row>
    <row r="1226" spans="1:6">
      <c r="A1226">
        <v>6158</v>
      </c>
      <c r="B1226" t="s">
        <v>462</v>
      </c>
      <c r="C1226">
        <v>6.8</v>
      </c>
      <c r="D1226">
        <f>VLOOKUP(A1226,收盤價!A:C,3,0)</f>
        <v>10.199999999999999</v>
      </c>
      <c r="E1226" s="188">
        <v>0.49999999999999994</v>
      </c>
      <c r="F1226">
        <v>90.78</v>
      </c>
    </row>
    <row r="1227" spans="1:6">
      <c r="A1227">
        <v>6160</v>
      </c>
      <c r="B1227" t="s">
        <v>1736</v>
      </c>
      <c r="C1227">
        <v>11.45</v>
      </c>
      <c r="D1227">
        <f>VLOOKUP(A1227,收盤價!A:C,3,0)</f>
        <v>13.75</v>
      </c>
      <c r="E1227" s="188">
        <v>0.20087336244541493</v>
      </c>
      <c r="F1227">
        <v>53.35</v>
      </c>
    </row>
    <row r="1228" spans="1:6">
      <c r="A1228">
        <v>6161</v>
      </c>
      <c r="B1228" t="s">
        <v>463</v>
      </c>
      <c r="C1228">
        <v>5.74</v>
      </c>
      <c r="D1228">
        <f>VLOOKUP(A1228,收盤價!A:C,3,0)</f>
        <v>6.65</v>
      </c>
      <c r="E1228" s="188">
        <v>0.15853658536585369</v>
      </c>
      <c r="F1228">
        <v>43.31</v>
      </c>
    </row>
    <row r="1229" spans="1:6">
      <c r="A1229">
        <v>6163</v>
      </c>
      <c r="B1229" t="s">
        <v>464</v>
      </c>
      <c r="C1229">
        <v>10.5</v>
      </c>
      <c r="D1229">
        <f>VLOOKUP(A1229,收盤價!A:C,3,0)</f>
        <v>10.15</v>
      </c>
      <c r="E1229" s="188">
        <v>-3.3333333333333298E-2</v>
      </c>
      <c r="F1229">
        <v>9.2799999999999994</v>
      </c>
    </row>
    <row r="1230" spans="1:6">
      <c r="A1230">
        <v>6164</v>
      </c>
      <c r="B1230" t="s">
        <v>1281</v>
      </c>
      <c r="C1230">
        <v>9.23</v>
      </c>
      <c r="D1230">
        <f>VLOOKUP(A1230,收盤價!A:C,3,0)</f>
        <v>10.65</v>
      </c>
      <c r="E1230" s="188">
        <v>0.15384615384615383</v>
      </c>
      <c r="F1230">
        <v>41.98</v>
      </c>
    </row>
    <row r="1231" spans="1:6">
      <c r="A1231">
        <v>6165</v>
      </c>
      <c r="B1231" t="s">
        <v>1282</v>
      </c>
      <c r="C1231">
        <v>12.05</v>
      </c>
      <c r="D1231">
        <f>VLOOKUP(A1231,收盤價!A:C,3,0)</f>
        <v>10.65</v>
      </c>
      <c r="E1231" s="188">
        <v>-0.1161825726141079</v>
      </c>
      <c r="F1231">
        <v>4.8</v>
      </c>
    </row>
    <row r="1232" spans="1:6">
      <c r="A1232">
        <v>6166</v>
      </c>
      <c r="B1232" t="s">
        <v>1283</v>
      </c>
      <c r="C1232">
        <v>71.5</v>
      </c>
      <c r="D1232">
        <f>VLOOKUP(A1232,收盤價!A:C,3,0)</f>
        <v>81.7</v>
      </c>
      <c r="E1232" s="188">
        <v>0.1426573426573427</v>
      </c>
      <c r="F1232">
        <v>39.08</v>
      </c>
    </row>
    <row r="1233" spans="1:6">
      <c r="A1233">
        <v>6167</v>
      </c>
      <c r="B1233" t="s">
        <v>1737</v>
      </c>
      <c r="C1233">
        <v>2.91</v>
      </c>
      <c r="D1233">
        <f>VLOOKUP(A1233,收盤價!A:C,3,0)</f>
        <v>4.82</v>
      </c>
      <c r="E1233" s="188">
        <v>0.6563573883161512</v>
      </c>
      <c r="F1233">
        <v>96.02</v>
      </c>
    </row>
    <row r="1234" spans="1:6">
      <c r="A1234">
        <v>6168</v>
      </c>
      <c r="B1234" t="s">
        <v>1284</v>
      </c>
      <c r="C1234">
        <v>9.2200000000000006</v>
      </c>
      <c r="D1234">
        <f>VLOOKUP(A1234,收盤價!A:C,3,0)</f>
        <v>12.6</v>
      </c>
      <c r="E1234" s="188">
        <v>0.36659436008676777</v>
      </c>
      <c r="F1234">
        <v>81.25</v>
      </c>
    </row>
    <row r="1235" spans="1:6">
      <c r="A1235">
        <v>6169</v>
      </c>
      <c r="B1235" t="s">
        <v>1738</v>
      </c>
      <c r="C1235">
        <v>11</v>
      </c>
      <c r="D1235">
        <f>VLOOKUP(A1235,收盤價!A:C,3,0)</f>
        <v>21.4</v>
      </c>
      <c r="E1235" s="188">
        <v>0.94545454545454533</v>
      </c>
      <c r="F1235">
        <v>98.42</v>
      </c>
    </row>
    <row r="1236" spans="1:6">
      <c r="A1236">
        <v>6170</v>
      </c>
      <c r="B1236" t="s">
        <v>465</v>
      </c>
      <c r="C1236">
        <v>6.12</v>
      </c>
      <c r="D1236">
        <f>VLOOKUP(A1236,收盤價!A:C,3,0)</f>
        <v>9.01</v>
      </c>
      <c r="E1236" s="188">
        <v>0.47222222222222215</v>
      </c>
      <c r="F1236">
        <v>89.58</v>
      </c>
    </row>
    <row r="1237" spans="1:6">
      <c r="A1237">
        <v>6171</v>
      </c>
      <c r="B1237" t="s">
        <v>466</v>
      </c>
      <c r="C1237">
        <v>12.9</v>
      </c>
      <c r="D1237">
        <f>VLOOKUP(A1237,收盤價!A:C,3,0)</f>
        <v>0</v>
      </c>
      <c r="E1237" s="188">
        <v>-1</v>
      </c>
      <c r="F1237">
        <v>2.97</v>
      </c>
    </row>
    <row r="1238" spans="1:6">
      <c r="A1238">
        <v>6172</v>
      </c>
      <c r="B1238" t="s">
        <v>1285</v>
      </c>
      <c r="C1238">
        <v>5.34</v>
      </c>
      <c r="D1238">
        <f>VLOOKUP(A1238,收盤價!A:C,3,0)</f>
        <v>4.99</v>
      </c>
      <c r="E1238" s="188">
        <v>-6.5543071161048627E-2</v>
      </c>
      <c r="F1238">
        <v>6.94</v>
      </c>
    </row>
    <row r="1239" spans="1:6">
      <c r="A1239">
        <v>6173</v>
      </c>
      <c r="B1239" t="s">
        <v>1739</v>
      </c>
      <c r="C1239">
        <v>7.56</v>
      </c>
      <c r="D1239">
        <f>VLOOKUP(A1239,收盤價!A:C,3,0)</f>
        <v>9.52</v>
      </c>
      <c r="E1239" s="188">
        <v>0.25925925925925924</v>
      </c>
      <c r="F1239">
        <v>64.959999999999994</v>
      </c>
    </row>
    <row r="1240" spans="1:6">
      <c r="A1240">
        <v>6174</v>
      </c>
      <c r="B1240" t="s">
        <v>1740</v>
      </c>
      <c r="C1240">
        <v>15</v>
      </c>
      <c r="D1240">
        <f>VLOOKUP(A1240,收盤價!A:C,3,0)</f>
        <v>14.85</v>
      </c>
      <c r="E1240" s="188">
        <v>-1.0000000000000024E-2</v>
      </c>
      <c r="F1240">
        <v>10.98</v>
      </c>
    </row>
    <row r="1241" spans="1:6">
      <c r="A1241">
        <v>6175</v>
      </c>
      <c r="B1241" t="s">
        <v>467</v>
      </c>
      <c r="C1241">
        <v>12.55</v>
      </c>
      <c r="D1241">
        <f>VLOOKUP(A1241,收盤價!A:C,3,0)</f>
        <v>12.75</v>
      </c>
      <c r="E1241" s="188">
        <v>1.5936254980079625E-2</v>
      </c>
      <c r="F1241">
        <v>14.27</v>
      </c>
    </row>
    <row r="1242" spans="1:6">
      <c r="A1242">
        <v>6176</v>
      </c>
      <c r="B1242" t="s">
        <v>1286</v>
      </c>
      <c r="C1242">
        <v>83.2</v>
      </c>
      <c r="D1242">
        <f>VLOOKUP(A1242,收盤價!A:C,3,0)</f>
        <v>89.8</v>
      </c>
      <c r="E1242" s="188">
        <v>7.9326923076923003E-2</v>
      </c>
      <c r="F1242">
        <v>24.49</v>
      </c>
    </row>
    <row r="1243" spans="1:6">
      <c r="A1243">
        <v>6177</v>
      </c>
      <c r="B1243" t="s">
        <v>1287</v>
      </c>
      <c r="C1243">
        <v>23.4</v>
      </c>
      <c r="D1243">
        <f>VLOOKUP(A1243,收盤價!A:C,3,0)</f>
        <v>20.75</v>
      </c>
      <c r="E1243" s="188">
        <v>-0.11324786324786319</v>
      </c>
      <c r="F1243">
        <v>4.92</v>
      </c>
    </row>
    <row r="1244" spans="1:6">
      <c r="A1244">
        <v>6179</v>
      </c>
      <c r="B1244" t="s">
        <v>468</v>
      </c>
      <c r="C1244">
        <v>36.35</v>
      </c>
      <c r="D1244">
        <f>VLOOKUP(A1244,收盤價!A:C,3,0)</f>
        <v>37.950000000000003</v>
      </c>
      <c r="E1244" s="188">
        <v>4.4016506189821218E-2</v>
      </c>
      <c r="F1244">
        <v>18.37</v>
      </c>
    </row>
    <row r="1245" spans="1:6">
      <c r="A1245">
        <v>6180</v>
      </c>
      <c r="B1245" t="s">
        <v>1741</v>
      </c>
      <c r="C1245">
        <v>36</v>
      </c>
      <c r="D1245">
        <f>VLOOKUP(A1245,收盤價!A:C,3,0)</f>
        <v>45.3</v>
      </c>
      <c r="E1245" s="188">
        <v>0.25833333333333325</v>
      </c>
      <c r="F1245">
        <v>64.84</v>
      </c>
    </row>
    <row r="1246" spans="1:6">
      <c r="A1246">
        <v>6182</v>
      </c>
      <c r="B1246" t="s">
        <v>469</v>
      </c>
      <c r="C1246">
        <v>8.09</v>
      </c>
      <c r="D1246">
        <f>VLOOKUP(A1246,收盤價!A:C,3,0)</f>
        <v>10.15</v>
      </c>
      <c r="E1246" s="188">
        <v>0.25463535228677386</v>
      </c>
      <c r="F1246">
        <v>64.02</v>
      </c>
    </row>
    <row r="1247" spans="1:6">
      <c r="A1247">
        <v>6183</v>
      </c>
      <c r="B1247" t="s">
        <v>1288</v>
      </c>
      <c r="C1247">
        <v>23.3</v>
      </c>
      <c r="D1247">
        <f>VLOOKUP(A1247,收盤價!A:C,3,0)</f>
        <v>25.5</v>
      </c>
      <c r="E1247" s="188">
        <v>9.4420600858369064E-2</v>
      </c>
      <c r="F1247">
        <v>28.35</v>
      </c>
    </row>
    <row r="1248" spans="1:6">
      <c r="A1248">
        <v>6184</v>
      </c>
      <c r="B1248" t="s">
        <v>1289</v>
      </c>
      <c r="C1248">
        <v>50.7</v>
      </c>
      <c r="D1248">
        <f>VLOOKUP(A1248,收盤價!A:C,3,0)</f>
        <v>52.6</v>
      </c>
      <c r="E1248" s="188">
        <v>3.7475345167652829E-2</v>
      </c>
      <c r="F1248">
        <v>17.3</v>
      </c>
    </row>
    <row r="1249" spans="1:6">
      <c r="A1249">
        <v>6185</v>
      </c>
      <c r="B1249" t="s">
        <v>1742</v>
      </c>
      <c r="C1249">
        <v>17.45</v>
      </c>
      <c r="D1249">
        <f>VLOOKUP(A1249,收盤價!A:C,3,0)</f>
        <v>23.3</v>
      </c>
      <c r="E1249" s="188">
        <v>0.3352435530085961</v>
      </c>
      <c r="F1249">
        <v>77.02</v>
      </c>
    </row>
    <row r="1250" spans="1:6">
      <c r="A1250">
        <v>6186</v>
      </c>
      <c r="B1250" t="s">
        <v>470</v>
      </c>
      <c r="C1250">
        <v>21.4</v>
      </c>
      <c r="D1250">
        <f>VLOOKUP(A1250,收盤價!A:C,3,0)</f>
        <v>23.3</v>
      </c>
      <c r="E1250" s="188">
        <v>8.878504672897207E-2</v>
      </c>
      <c r="F1250">
        <v>27.15</v>
      </c>
    </row>
    <row r="1251" spans="1:6">
      <c r="A1251">
        <v>6187</v>
      </c>
      <c r="B1251" t="s">
        <v>1743</v>
      </c>
      <c r="C1251">
        <v>33.4</v>
      </c>
      <c r="D1251">
        <f>VLOOKUP(A1251,收盤價!A:C,3,0)</f>
        <v>39.5</v>
      </c>
      <c r="E1251" s="188">
        <v>0.18263473053892221</v>
      </c>
      <c r="F1251">
        <v>48.74</v>
      </c>
    </row>
    <row r="1252" spans="1:6">
      <c r="A1252">
        <v>6188</v>
      </c>
      <c r="B1252" t="s">
        <v>1744</v>
      </c>
      <c r="C1252">
        <v>17.05</v>
      </c>
      <c r="D1252">
        <f>VLOOKUP(A1252,收盤價!A:C,3,0)</f>
        <v>19.2</v>
      </c>
      <c r="E1252" s="188">
        <v>0.12609970674486795</v>
      </c>
      <c r="F1252">
        <v>35.979999999999997</v>
      </c>
    </row>
    <row r="1253" spans="1:6">
      <c r="A1253">
        <v>6189</v>
      </c>
      <c r="B1253" t="s">
        <v>1290</v>
      </c>
      <c r="C1253">
        <v>24.4</v>
      </c>
      <c r="D1253">
        <f>VLOOKUP(A1253,收盤價!A:C,3,0)</f>
        <v>29.6</v>
      </c>
      <c r="E1253" s="188">
        <v>0.21311475409836078</v>
      </c>
      <c r="F1253">
        <v>56.25</v>
      </c>
    </row>
    <row r="1254" spans="1:6">
      <c r="A1254">
        <v>6190</v>
      </c>
      <c r="B1254" t="s">
        <v>471</v>
      </c>
      <c r="C1254">
        <v>5.26</v>
      </c>
      <c r="D1254">
        <f>VLOOKUP(A1254,收盤價!A:C,3,0)</f>
        <v>6.26</v>
      </c>
      <c r="E1254" s="188">
        <v>0.19011406844106465</v>
      </c>
      <c r="F1254">
        <v>50.76</v>
      </c>
    </row>
    <row r="1255" spans="1:6">
      <c r="A1255">
        <v>6191</v>
      </c>
      <c r="B1255" t="s">
        <v>1291</v>
      </c>
      <c r="C1255">
        <v>5.38</v>
      </c>
      <c r="D1255">
        <f>VLOOKUP(A1255,收盤價!A:C,3,0)</f>
        <v>6.93</v>
      </c>
      <c r="E1255" s="188">
        <v>0.28810408921933084</v>
      </c>
      <c r="F1255">
        <v>69.569999999999993</v>
      </c>
    </row>
    <row r="1256" spans="1:6">
      <c r="A1256">
        <v>6192</v>
      </c>
      <c r="B1256" t="s">
        <v>1292</v>
      </c>
      <c r="C1256">
        <v>39.5</v>
      </c>
      <c r="D1256">
        <f>VLOOKUP(A1256,收盤價!A:C,3,0)</f>
        <v>44.6</v>
      </c>
      <c r="E1256" s="188">
        <v>0.12911392405063296</v>
      </c>
      <c r="F1256">
        <v>36.549999999999997</v>
      </c>
    </row>
    <row r="1257" spans="1:6">
      <c r="A1257">
        <v>6194</v>
      </c>
      <c r="B1257" t="s">
        <v>1745</v>
      </c>
      <c r="C1257">
        <v>16.600000000000001</v>
      </c>
      <c r="D1257">
        <f>VLOOKUP(A1257,收盤價!A:C,3,0)</f>
        <v>20.149999999999999</v>
      </c>
      <c r="E1257" s="188">
        <v>0.21385542168674679</v>
      </c>
      <c r="F1257">
        <v>56.44</v>
      </c>
    </row>
    <row r="1258" spans="1:6">
      <c r="A1258">
        <v>6195</v>
      </c>
      <c r="B1258" t="s">
        <v>472</v>
      </c>
      <c r="C1258">
        <v>45</v>
      </c>
      <c r="D1258">
        <f>VLOOKUP(A1258,收盤價!A:C,3,0)</f>
        <v>50.5</v>
      </c>
      <c r="E1258" s="188">
        <v>0.12222222222222222</v>
      </c>
      <c r="F1258">
        <v>34.85</v>
      </c>
    </row>
    <row r="1259" spans="1:6">
      <c r="A1259">
        <v>6196</v>
      </c>
      <c r="B1259" t="s">
        <v>1293</v>
      </c>
      <c r="C1259">
        <v>16.25</v>
      </c>
      <c r="D1259">
        <f>VLOOKUP(A1259,收盤價!A:C,3,0)</f>
        <v>21.95</v>
      </c>
      <c r="E1259" s="188">
        <v>0.35076923076923072</v>
      </c>
      <c r="F1259">
        <v>78.98</v>
      </c>
    </row>
    <row r="1260" spans="1:6">
      <c r="A1260">
        <v>6197</v>
      </c>
      <c r="B1260" t="s">
        <v>1294</v>
      </c>
      <c r="C1260">
        <v>27</v>
      </c>
      <c r="D1260">
        <f>VLOOKUP(A1260,收盤價!A:C,3,0)</f>
        <v>31.65</v>
      </c>
      <c r="E1260" s="188">
        <v>0.17222222222222217</v>
      </c>
      <c r="F1260">
        <v>46.09</v>
      </c>
    </row>
    <row r="1261" spans="1:6">
      <c r="A1261">
        <v>6198</v>
      </c>
      <c r="B1261" t="s">
        <v>1746</v>
      </c>
      <c r="C1261">
        <v>14.1</v>
      </c>
      <c r="D1261">
        <f>VLOOKUP(A1261,收盤價!A:C,3,0)</f>
        <v>14.2</v>
      </c>
      <c r="E1261" s="188">
        <v>7.0921985815602584E-3</v>
      </c>
      <c r="F1261">
        <v>13.38</v>
      </c>
    </row>
    <row r="1262" spans="1:6">
      <c r="A1262">
        <v>6199</v>
      </c>
      <c r="B1262" t="s">
        <v>1869</v>
      </c>
      <c r="C1262">
        <v>11.25</v>
      </c>
      <c r="D1262">
        <f>VLOOKUP(A1262,收盤價!A:C,3,0)</f>
        <v>0</v>
      </c>
      <c r="E1262" s="188">
        <v>-1</v>
      </c>
      <c r="F1262">
        <v>2.46</v>
      </c>
    </row>
    <row r="1263" spans="1:6">
      <c r="A1263">
        <v>6201</v>
      </c>
      <c r="B1263" t="s">
        <v>1440</v>
      </c>
      <c r="C1263">
        <v>9.25</v>
      </c>
      <c r="D1263">
        <f>VLOOKUP(A1263,收盤價!A:C,3,0)</f>
        <v>25.4</v>
      </c>
      <c r="E1263" s="188">
        <v>1.7459459459459459</v>
      </c>
      <c r="F1263">
        <v>99.68</v>
      </c>
    </row>
    <row r="1264" spans="1:6">
      <c r="A1264">
        <v>6201</v>
      </c>
      <c r="B1264" t="s">
        <v>1295</v>
      </c>
      <c r="C1264">
        <v>22.7</v>
      </c>
      <c r="D1264">
        <f>VLOOKUP(A1264,收盤價!A:C,3,0)</f>
        <v>25.4</v>
      </c>
      <c r="E1264" s="188">
        <v>0.11894273127753301</v>
      </c>
      <c r="F1264">
        <v>33.840000000000003</v>
      </c>
    </row>
    <row r="1265" spans="1:6">
      <c r="A1265">
        <v>6202</v>
      </c>
      <c r="B1265" t="s">
        <v>1296</v>
      </c>
      <c r="C1265">
        <v>36.200000000000003</v>
      </c>
      <c r="D1265">
        <f>VLOOKUP(A1265,收盤價!A:C,3,0)</f>
        <v>48.85</v>
      </c>
      <c r="E1265" s="188">
        <v>0.34944751381215461</v>
      </c>
      <c r="F1265">
        <v>78.849999999999994</v>
      </c>
    </row>
    <row r="1266" spans="1:6">
      <c r="A1266">
        <v>6203</v>
      </c>
      <c r="B1266" t="s">
        <v>473</v>
      </c>
      <c r="C1266">
        <v>28.05</v>
      </c>
      <c r="D1266">
        <f>VLOOKUP(A1266,收盤價!A:C,3,0)</f>
        <v>30.1</v>
      </c>
      <c r="E1266" s="188">
        <v>7.3083778966131926E-2</v>
      </c>
      <c r="F1266">
        <v>22.92</v>
      </c>
    </row>
    <row r="1267" spans="1:6">
      <c r="A1267">
        <v>6204</v>
      </c>
      <c r="B1267" t="s">
        <v>1748</v>
      </c>
      <c r="C1267">
        <v>21.95</v>
      </c>
      <c r="D1267">
        <f>VLOOKUP(A1267,收盤價!A:C,3,0)</f>
        <v>22.9</v>
      </c>
      <c r="E1267" s="188">
        <v>4.3280182232346212E-2</v>
      </c>
      <c r="F1267">
        <v>18.18</v>
      </c>
    </row>
    <row r="1268" spans="1:6">
      <c r="A1268">
        <v>6205</v>
      </c>
      <c r="B1268" t="s">
        <v>1297</v>
      </c>
      <c r="C1268">
        <v>20.9</v>
      </c>
      <c r="D1268">
        <f>VLOOKUP(A1268,收盤價!A:C,3,0)</f>
        <v>28.5</v>
      </c>
      <c r="E1268" s="188">
        <v>0.3636363636363637</v>
      </c>
      <c r="F1268">
        <v>80.680000000000007</v>
      </c>
    </row>
    <row r="1269" spans="1:6">
      <c r="A1269">
        <v>6206</v>
      </c>
      <c r="B1269" t="s">
        <v>1298</v>
      </c>
      <c r="C1269">
        <v>81.599999999999994</v>
      </c>
      <c r="D1269">
        <f>VLOOKUP(A1269,收盤價!A:C,3,0)</f>
        <v>102</v>
      </c>
      <c r="E1269" s="188">
        <v>0.25000000000000011</v>
      </c>
      <c r="F1269">
        <v>63.19</v>
      </c>
    </row>
    <row r="1270" spans="1:6">
      <c r="A1270">
        <v>6207</v>
      </c>
      <c r="B1270" t="s">
        <v>474</v>
      </c>
      <c r="C1270">
        <v>20.95</v>
      </c>
      <c r="D1270">
        <f>VLOOKUP(A1270,收盤價!A:C,3,0)</f>
        <v>27.4</v>
      </c>
      <c r="E1270" s="188">
        <v>0.30787589498806678</v>
      </c>
      <c r="F1270">
        <v>72.98</v>
      </c>
    </row>
    <row r="1271" spans="1:6">
      <c r="A1271">
        <v>6208</v>
      </c>
      <c r="B1271" t="s">
        <v>1749</v>
      </c>
      <c r="C1271">
        <v>9.3000000000000007</v>
      </c>
      <c r="D1271">
        <f>VLOOKUP(A1271,收盤價!A:C,3,0)</f>
        <v>11.1</v>
      </c>
      <c r="E1271" s="188">
        <v>0.19354838709677408</v>
      </c>
      <c r="F1271">
        <v>51.26</v>
      </c>
    </row>
    <row r="1272" spans="1:6">
      <c r="A1272">
        <v>6209</v>
      </c>
      <c r="B1272" t="s">
        <v>1299</v>
      </c>
      <c r="C1272">
        <v>13.65</v>
      </c>
      <c r="D1272">
        <f>VLOOKUP(A1272,收盤價!A:C,3,0)</f>
        <v>16.45</v>
      </c>
      <c r="E1272" s="188">
        <v>0.20512820512820504</v>
      </c>
      <c r="F1272">
        <v>54.1</v>
      </c>
    </row>
    <row r="1273" spans="1:6">
      <c r="A1273">
        <v>6210</v>
      </c>
      <c r="B1273" t="s">
        <v>1750</v>
      </c>
      <c r="C1273">
        <v>40.299999999999997</v>
      </c>
      <c r="D1273">
        <f>VLOOKUP(A1273,收盤價!A:C,3,0)</f>
        <v>44.1</v>
      </c>
      <c r="E1273" s="188">
        <v>9.4292803970223438E-2</v>
      </c>
      <c r="F1273">
        <v>28.28</v>
      </c>
    </row>
    <row r="1274" spans="1:6">
      <c r="A1274">
        <v>6211</v>
      </c>
      <c r="B1274" t="s">
        <v>1751</v>
      </c>
      <c r="C1274">
        <v>14.95</v>
      </c>
      <c r="D1274">
        <f>VLOOKUP(A1274,收盤價!A:C,3,0)</f>
        <v>21</v>
      </c>
      <c r="E1274" s="188">
        <v>0.4046822742474917</v>
      </c>
      <c r="F1274">
        <v>84.47</v>
      </c>
    </row>
    <row r="1275" spans="1:6">
      <c r="A1275">
        <v>6212</v>
      </c>
      <c r="B1275" t="s">
        <v>475</v>
      </c>
      <c r="C1275">
        <v>24.3</v>
      </c>
      <c r="D1275">
        <f>VLOOKUP(A1275,收盤價!A:C,3,0)</f>
        <v>26.3</v>
      </c>
      <c r="E1275" s="188">
        <v>8.2304526748971193E-2</v>
      </c>
      <c r="F1275">
        <v>25.32</v>
      </c>
    </row>
    <row r="1276" spans="1:6">
      <c r="A1276">
        <v>6213</v>
      </c>
      <c r="B1276" t="s">
        <v>1300</v>
      </c>
      <c r="C1276">
        <v>16.75</v>
      </c>
      <c r="D1276">
        <f>VLOOKUP(A1276,收盤價!A:C,3,0)</f>
        <v>22.4</v>
      </c>
      <c r="E1276" s="188">
        <v>0.33731343283582083</v>
      </c>
      <c r="F1276">
        <v>77.400000000000006</v>
      </c>
    </row>
    <row r="1277" spans="1:6">
      <c r="A1277">
        <v>6214</v>
      </c>
      <c r="B1277" t="s">
        <v>1301</v>
      </c>
      <c r="C1277">
        <v>47.1</v>
      </c>
      <c r="D1277">
        <f>VLOOKUP(A1277,收盤價!A:C,3,0)</f>
        <v>58.5</v>
      </c>
      <c r="E1277" s="188">
        <v>0.24203821656050953</v>
      </c>
      <c r="F1277">
        <v>61.62</v>
      </c>
    </row>
    <row r="1278" spans="1:6">
      <c r="A1278">
        <v>6215</v>
      </c>
      <c r="B1278" t="s">
        <v>1302</v>
      </c>
      <c r="C1278">
        <v>9.75</v>
      </c>
      <c r="D1278">
        <f>VLOOKUP(A1278,收盤價!A:C,3,0)</f>
        <v>13.3</v>
      </c>
      <c r="E1278" s="188">
        <v>0.3641025641025642</v>
      </c>
      <c r="F1278">
        <v>80.81</v>
      </c>
    </row>
    <row r="1279" spans="1:6">
      <c r="A1279">
        <v>6216</v>
      </c>
      <c r="B1279" t="s">
        <v>1303</v>
      </c>
      <c r="C1279">
        <v>24.3</v>
      </c>
      <c r="D1279">
        <f>VLOOKUP(A1279,收盤價!A:C,3,0)</f>
        <v>27.05</v>
      </c>
      <c r="E1279" s="188">
        <v>0.11316872427983539</v>
      </c>
      <c r="F1279">
        <v>32.450000000000003</v>
      </c>
    </row>
    <row r="1280" spans="1:6">
      <c r="A1280">
        <v>6217</v>
      </c>
      <c r="B1280" t="s">
        <v>1752</v>
      </c>
      <c r="C1280">
        <v>40.450000000000003</v>
      </c>
      <c r="D1280">
        <f>VLOOKUP(A1280,收盤價!A:C,3,0)</f>
        <v>49</v>
      </c>
      <c r="E1280" s="188">
        <v>0.21137206427688496</v>
      </c>
      <c r="F1280">
        <v>55.74</v>
      </c>
    </row>
    <row r="1281" spans="1:6">
      <c r="A1281">
        <v>6218</v>
      </c>
      <c r="B1281" t="s">
        <v>1753</v>
      </c>
      <c r="C1281">
        <v>15.6</v>
      </c>
      <c r="D1281">
        <f>VLOOKUP(A1281,收盤價!A:C,3,0)</f>
        <v>16.75</v>
      </c>
      <c r="E1281" s="188">
        <v>7.3717948717948747E-2</v>
      </c>
      <c r="F1281">
        <v>23.11</v>
      </c>
    </row>
    <row r="1282" spans="1:6">
      <c r="A1282">
        <v>6219</v>
      </c>
      <c r="B1282" t="s">
        <v>1754</v>
      </c>
      <c r="C1282">
        <v>11.95</v>
      </c>
      <c r="D1282">
        <f>VLOOKUP(A1282,收盤價!A:C,3,0)</f>
        <v>11.95</v>
      </c>
      <c r="E1282" s="188">
        <v>0</v>
      </c>
      <c r="F1282">
        <v>12.12</v>
      </c>
    </row>
    <row r="1283" spans="1:6">
      <c r="A1283">
        <v>6220</v>
      </c>
      <c r="B1283" t="s">
        <v>476</v>
      </c>
      <c r="C1283">
        <v>11.55</v>
      </c>
      <c r="D1283">
        <f>VLOOKUP(A1283,收盤價!A:C,3,0)</f>
        <v>15.7</v>
      </c>
      <c r="E1283" s="188">
        <v>0.35930735930735919</v>
      </c>
      <c r="F1283">
        <v>80.180000000000007</v>
      </c>
    </row>
    <row r="1284" spans="1:6">
      <c r="A1284">
        <v>6221</v>
      </c>
      <c r="B1284" t="s">
        <v>477</v>
      </c>
      <c r="C1284">
        <v>21.2</v>
      </c>
      <c r="D1284">
        <f>VLOOKUP(A1284,收盤價!A:C,3,0)</f>
        <v>23.6</v>
      </c>
      <c r="E1284" s="188">
        <v>0.11320754716981142</v>
      </c>
      <c r="F1284">
        <v>32.51</v>
      </c>
    </row>
    <row r="1285" spans="1:6">
      <c r="A1285">
        <v>6222</v>
      </c>
      <c r="B1285" t="s">
        <v>1755</v>
      </c>
      <c r="C1285">
        <v>6.78</v>
      </c>
      <c r="D1285">
        <f>VLOOKUP(A1285,收盤價!A:C,3,0)</f>
        <v>7.7</v>
      </c>
      <c r="E1285" s="188">
        <v>0.13569321533923304</v>
      </c>
      <c r="F1285">
        <v>37.94</v>
      </c>
    </row>
    <row r="1286" spans="1:6">
      <c r="A1286">
        <v>6223</v>
      </c>
      <c r="B1286" t="s">
        <v>478</v>
      </c>
      <c r="C1286">
        <v>50.9</v>
      </c>
      <c r="D1286">
        <f>VLOOKUP(A1286,收盤價!A:C,3,0)</f>
        <v>66.7</v>
      </c>
      <c r="E1286" s="188">
        <v>0.31041257367387043</v>
      </c>
      <c r="F1286">
        <v>73.48</v>
      </c>
    </row>
    <row r="1287" spans="1:6">
      <c r="A1287">
        <v>6224</v>
      </c>
      <c r="B1287" t="s">
        <v>1304</v>
      </c>
      <c r="C1287">
        <v>59.1</v>
      </c>
      <c r="D1287">
        <f>VLOOKUP(A1287,收盤價!A:C,3,0)</f>
        <v>64</v>
      </c>
      <c r="E1287" s="188">
        <v>8.2910321489001668E-2</v>
      </c>
      <c r="F1287">
        <v>25.44</v>
      </c>
    </row>
    <row r="1288" spans="1:6">
      <c r="A1288">
        <v>6225</v>
      </c>
      <c r="B1288" t="s">
        <v>1305</v>
      </c>
      <c r="C1288">
        <v>3.86</v>
      </c>
      <c r="D1288">
        <f>VLOOKUP(A1288,收盤價!A:C,3,0)</f>
        <v>3.53</v>
      </c>
      <c r="E1288" s="188">
        <v>-8.5492227979274638E-2</v>
      </c>
      <c r="F1288">
        <v>6</v>
      </c>
    </row>
    <row r="1289" spans="1:6">
      <c r="A1289">
        <v>6226</v>
      </c>
      <c r="B1289" t="s">
        <v>1306</v>
      </c>
      <c r="C1289">
        <v>5.13</v>
      </c>
      <c r="D1289">
        <f>VLOOKUP(A1289,收盤價!A:C,3,0)</f>
        <v>6.16</v>
      </c>
      <c r="E1289" s="188">
        <v>0.20077972709551661</v>
      </c>
      <c r="F1289">
        <v>53.22</v>
      </c>
    </row>
    <row r="1290" spans="1:6">
      <c r="A1290">
        <v>6227</v>
      </c>
      <c r="B1290" t="s">
        <v>479</v>
      </c>
      <c r="C1290">
        <v>11.65</v>
      </c>
      <c r="D1290">
        <f>VLOOKUP(A1290,收盤價!A:C,3,0)</f>
        <v>18.7</v>
      </c>
      <c r="E1290" s="188">
        <v>0.60515021459227458</v>
      </c>
      <c r="F1290">
        <v>94.32</v>
      </c>
    </row>
    <row r="1291" spans="1:6">
      <c r="A1291">
        <v>6228</v>
      </c>
      <c r="B1291" t="s">
        <v>1756</v>
      </c>
      <c r="C1291">
        <v>8.3000000000000007</v>
      </c>
      <c r="D1291">
        <f>VLOOKUP(A1291,收盤價!A:C,3,0)</f>
        <v>11.05</v>
      </c>
      <c r="E1291" s="188">
        <v>0.33132530120481923</v>
      </c>
      <c r="F1291">
        <v>76.45</v>
      </c>
    </row>
    <row r="1292" spans="1:6">
      <c r="A1292">
        <v>6229</v>
      </c>
      <c r="B1292" t="s">
        <v>480</v>
      </c>
      <c r="C1292">
        <v>10.1</v>
      </c>
      <c r="D1292">
        <f>VLOOKUP(A1292,收盤價!A:C,3,0)</f>
        <v>12</v>
      </c>
      <c r="E1292" s="188">
        <v>0.18811881188118815</v>
      </c>
      <c r="F1292">
        <v>50</v>
      </c>
    </row>
    <row r="1293" spans="1:6">
      <c r="A1293">
        <v>6230</v>
      </c>
      <c r="B1293" t="s">
        <v>1307</v>
      </c>
      <c r="C1293">
        <v>45.4</v>
      </c>
      <c r="D1293">
        <f>VLOOKUP(A1293,收盤價!A:C,3,0)</f>
        <v>76.5</v>
      </c>
      <c r="E1293" s="188">
        <v>0.68502202643171817</v>
      </c>
      <c r="F1293">
        <v>96.15</v>
      </c>
    </row>
    <row r="1294" spans="1:6">
      <c r="A1294">
        <v>6231</v>
      </c>
      <c r="B1294" t="s">
        <v>481</v>
      </c>
      <c r="C1294">
        <v>25.75</v>
      </c>
      <c r="D1294">
        <f>VLOOKUP(A1294,收盤價!A:C,3,0)</f>
        <v>31.05</v>
      </c>
      <c r="E1294" s="188">
        <v>0.20582524271844663</v>
      </c>
      <c r="F1294">
        <v>54.17</v>
      </c>
    </row>
    <row r="1295" spans="1:6">
      <c r="A1295">
        <v>6233</v>
      </c>
      <c r="B1295" t="s">
        <v>1757</v>
      </c>
      <c r="C1295">
        <v>9.4499999999999993</v>
      </c>
      <c r="D1295">
        <f>VLOOKUP(A1295,收盤價!A:C,3,0)</f>
        <v>12.9</v>
      </c>
      <c r="E1295" s="188">
        <v>0.36507936507936523</v>
      </c>
      <c r="F1295">
        <v>80.87</v>
      </c>
    </row>
    <row r="1296" spans="1:6">
      <c r="A1296">
        <v>6234</v>
      </c>
      <c r="B1296" t="s">
        <v>482</v>
      </c>
      <c r="C1296">
        <v>16.55</v>
      </c>
      <c r="D1296">
        <f>VLOOKUP(A1296,收盤價!A:C,3,0)</f>
        <v>19.8</v>
      </c>
      <c r="E1296" s="188">
        <v>0.19637462235649547</v>
      </c>
      <c r="F1296">
        <v>52.08</v>
      </c>
    </row>
    <row r="1297" spans="1:6">
      <c r="A1297">
        <v>6235</v>
      </c>
      <c r="B1297" t="s">
        <v>1308</v>
      </c>
      <c r="C1297">
        <v>5.95</v>
      </c>
      <c r="D1297">
        <f>VLOOKUP(A1297,收盤價!A:C,3,0)</f>
        <v>9.66</v>
      </c>
      <c r="E1297" s="188">
        <v>0.62352941176470589</v>
      </c>
      <c r="F1297">
        <v>94.95</v>
      </c>
    </row>
    <row r="1298" spans="1:6">
      <c r="A1298">
        <v>6236</v>
      </c>
      <c r="B1298" t="s">
        <v>483</v>
      </c>
      <c r="C1298">
        <v>29.1</v>
      </c>
      <c r="D1298">
        <f>VLOOKUP(A1298,收盤價!A:C,3,0)</f>
        <v>32.65</v>
      </c>
      <c r="E1298" s="188">
        <v>0.12199312714776622</v>
      </c>
      <c r="F1298">
        <v>34.72</v>
      </c>
    </row>
    <row r="1299" spans="1:6">
      <c r="A1299">
        <v>6237</v>
      </c>
      <c r="B1299" t="s">
        <v>484</v>
      </c>
      <c r="C1299">
        <v>17.25</v>
      </c>
      <c r="D1299">
        <f>VLOOKUP(A1299,收盤價!A:C,3,0)</f>
        <v>29.8</v>
      </c>
      <c r="E1299" s="188">
        <v>0.72753623188405803</v>
      </c>
      <c r="F1299">
        <v>96.78</v>
      </c>
    </row>
    <row r="1300" spans="1:6">
      <c r="A1300">
        <v>6238</v>
      </c>
      <c r="B1300" t="s">
        <v>1758</v>
      </c>
      <c r="C1300">
        <v>57.7</v>
      </c>
      <c r="D1300">
        <f>VLOOKUP(A1300,收盤價!A:C,3,0)</f>
        <v>147</v>
      </c>
      <c r="E1300" s="188">
        <v>1.5476603119584054</v>
      </c>
      <c r="F1300">
        <v>99.56</v>
      </c>
    </row>
    <row r="1301" spans="1:6">
      <c r="A1301">
        <v>6239</v>
      </c>
      <c r="B1301" t="s">
        <v>1309</v>
      </c>
      <c r="C1301">
        <v>52.1</v>
      </c>
      <c r="D1301">
        <f>VLOOKUP(A1301,收盤價!A:C,3,0)</f>
        <v>70</v>
      </c>
      <c r="E1301" s="188">
        <v>0.34357005758157388</v>
      </c>
      <c r="F1301">
        <v>78.16</v>
      </c>
    </row>
    <row r="1302" spans="1:6">
      <c r="A1302">
        <v>6240</v>
      </c>
      <c r="B1302" t="s">
        <v>1759</v>
      </c>
      <c r="C1302">
        <v>0</v>
      </c>
      <c r="F1302">
        <v>0.44</v>
      </c>
    </row>
    <row r="1303" spans="1:6">
      <c r="A1303">
        <v>6241</v>
      </c>
      <c r="B1303" t="s">
        <v>485</v>
      </c>
      <c r="C1303">
        <v>11.9</v>
      </c>
      <c r="D1303">
        <f>VLOOKUP(A1303,收盤價!A:C,3,0)</f>
        <v>13.25</v>
      </c>
      <c r="E1303" s="188">
        <v>0.11344537815126048</v>
      </c>
      <c r="F1303">
        <v>32.58</v>
      </c>
    </row>
    <row r="1304" spans="1:6">
      <c r="A1304">
        <v>6242</v>
      </c>
      <c r="B1304" t="s">
        <v>1760</v>
      </c>
      <c r="C1304">
        <v>0</v>
      </c>
      <c r="F1304">
        <v>0.38</v>
      </c>
    </row>
    <row r="1305" spans="1:6">
      <c r="A1305">
        <v>6243</v>
      </c>
      <c r="B1305" t="s">
        <v>1310</v>
      </c>
      <c r="C1305">
        <v>10.9</v>
      </c>
      <c r="D1305">
        <f>VLOOKUP(A1305,收盤價!A:C,3,0)</f>
        <v>16.3</v>
      </c>
      <c r="E1305" s="188">
        <v>0.49541284403669728</v>
      </c>
      <c r="F1305">
        <v>90.47</v>
      </c>
    </row>
    <row r="1306" spans="1:6">
      <c r="A1306">
        <v>6244</v>
      </c>
      <c r="B1306" t="s">
        <v>486</v>
      </c>
      <c r="C1306">
        <v>25.55</v>
      </c>
      <c r="D1306">
        <f>VLOOKUP(A1306,收盤價!A:C,3,0)</f>
        <v>42.15</v>
      </c>
      <c r="E1306" s="188">
        <v>0.64970645792563586</v>
      </c>
      <c r="F1306">
        <v>95.64</v>
      </c>
    </row>
    <row r="1307" spans="1:6">
      <c r="A1307">
        <v>6245</v>
      </c>
      <c r="B1307" t="s">
        <v>1761</v>
      </c>
      <c r="C1307">
        <v>32</v>
      </c>
      <c r="D1307">
        <f>VLOOKUP(A1307,收盤價!A:C,3,0)</f>
        <v>41.55</v>
      </c>
      <c r="E1307" s="188">
        <v>0.29843749999999991</v>
      </c>
      <c r="F1307">
        <v>71.53</v>
      </c>
    </row>
    <row r="1308" spans="1:6">
      <c r="A1308">
        <v>6246</v>
      </c>
      <c r="B1308" t="s">
        <v>487</v>
      </c>
      <c r="C1308">
        <v>2.75</v>
      </c>
      <c r="D1308">
        <f>VLOOKUP(A1308,收盤價!A:C,3,0)</f>
        <v>2.46</v>
      </c>
      <c r="E1308" s="188">
        <v>-0.10545454545454547</v>
      </c>
      <c r="F1308">
        <v>5.1100000000000003</v>
      </c>
    </row>
    <row r="1309" spans="1:6">
      <c r="A1309">
        <v>6247</v>
      </c>
      <c r="B1309" t="s">
        <v>1762</v>
      </c>
      <c r="C1309">
        <v>13.3</v>
      </c>
      <c r="D1309">
        <f>VLOOKUP(A1309,收盤價!A:C,3,0)</f>
        <v>13.75</v>
      </c>
      <c r="E1309" s="188">
        <v>3.3834586466165356E-2</v>
      </c>
      <c r="F1309">
        <v>16.670000000000002</v>
      </c>
    </row>
    <row r="1310" spans="1:6">
      <c r="A1310">
        <v>6248</v>
      </c>
      <c r="B1310" t="s">
        <v>488</v>
      </c>
      <c r="C1310">
        <v>25</v>
      </c>
      <c r="D1310">
        <f>VLOOKUP(A1310,收盤價!A:C,3,0)</f>
        <v>21.95</v>
      </c>
      <c r="E1310" s="188">
        <v>-0.12200000000000003</v>
      </c>
      <c r="F1310">
        <v>4.6100000000000003</v>
      </c>
    </row>
    <row r="1311" spans="1:6">
      <c r="A1311">
        <v>6250</v>
      </c>
      <c r="B1311" t="s">
        <v>489</v>
      </c>
      <c r="C1311">
        <v>13.7</v>
      </c>
      <c r="D1311" t="e">
        <f>VLOOKUP(A1311,收盤價!A:C,3,0)</f>
        <v>#N/A</v>
      </c>
      <c r="F1311">
        <v>0.32</v>
      </c>
    </row>
    <row r="1312" spans="1:6">
      <c r="A1312">
        <v>6251</v>
      </c>
      <c r="B1312" t="s">
        <v>1311</v>
      </c>
      <c r="C1312">
        <v>8.08</v>
      </c>
      <c r="D1312">
        <f>VLOOKUP(A1312,收盤價!A:C,3,0)</f>
        <v>9.25</v>
      </c>
      <c r="E1312" s="188">
        <v>0.14480198019801979</v>
      </c>
      <c r="F1312">
        <v>39.770000000000003</v>
      </c>
    </row>
    <row r="1313" spans="1:6">
      <c r="A1313">
        <v>6257</v>
      </c>
      <c r="B1313" t="s">
        <v>1312</v>
      </c>
      <c r="C1313">
        <v>18.7</v>
      </c>
      <c r="D1313">
        <f>VLOOKUP(A1313,收盤價!A:C,3,0)</f>
        <v>21.9</v>
      </c>
      <c r="E1313" s="188">
        <v>0.17112299465240638</v>
      </c>
      <c r="F1313">
        <v>45.9</v>
      </c>
    </row>
    <row r="1314" spans="1:6">
      <c r="A1314">
        <v>6259</v>
      </c>
      <c r="B1314" t="s">
        <v>490</v>
      </c>
      <c r="C1314">
        <v>6.09</v>
      </c>
      <c r="D1314">
        <f>VLOOKUP(A1314,收盤價!A:C,3,0)</f>
        <v>11.75</v>
      </c>
      <c r="E1314" s="188">
        <v>0.92939244663382603</v>
      </c>
      <c r="F1314">
        <v>98.36</v>
      </c>
    </row>
    <row r="1315" spans="1:6">
      <c r="A1315">
        <v>6261</v>
      </c>
      <c r="B1315" t="s">
        <v>491</v>
      </c>
      <c r="C1315">
        <v>44.8</v>
      </c>
      <c r="D1315">
        <f>VLOOKUP(A1315,收盤價!A:C,3,0)</f>
        <v>46</v>
      </c>
      <c r="E1315" s="188">
        <v>2.678571428571435E-2</v>
      </c>
      <c r="F1315">
        <v>15.85</v>
      </c>
    </row>
    <row r="1316" spans="1:6">
      <c r="A1316">
        <v>6263</v>
      </c>
      <c r="B1316" t="s">
        <v>1763</v>
      </c>
      <c r="C1316">
        <v>36.799999999999997</v>
      </c>
      <c r="D1316">
        <f>VLOOKUP(A1316,收盤價!A:C,3,0)</f>
        <v>46.8</v>
      </c>
      <c r="E1316" s="188">
        <v>0.27173913043478265</v>
      </c>
      <c r="F1316">
        <v>66.790000000000006</v>
      </c>
    </row>
    <row r="1317" spans="1:6">
      <c r="A1317">
        <v>6264</v>
      </c>
      <c r="B1317" t="s">
        <v>492</v>
      </c>
      <c r="C1317">
        <v>5.08</v>
      </c>
      <c r="D1317">
        <f>VLOOKUP(A1317,收盤價!A:C,3,0)</f>
        <v>6.3</v>
      </c>
      <c r="E1317" s="188">
        <v>0.24015748031496056</v>
      </c>
      <c r="F1317">
        <v>61.43</v>
      </c>
    </row>
    <row r="1318" spans="1:6">
      <c r="A1318">
        <v>6265</v>
      </c>
      <c r="B1318" t="s">
        <v>493</v>
      </c>
      <c r="C1318">
        <v>5.69</v>
      </c>
      <c r="D1318">
        <f>VLOOKUP(A1318,收盤價!A:C,3,0)</f>
        <v>7.45</v>
      </c>
      <c r="E1318" s="188">
        <v>0.30931458699472753</v>
      </c>
      <c r="F1318">
        <v>73.3</v>
      </c>
    </row>
    <row r="1319" spans="1:6">
      <c r="A1319">
        <v>6266</v>
      </c>
      <c r="B1319" t="s">
        <v>1764</v>
      </c>
      <c r="C1319">
        <v>12.85</v>
      </c>
      <c r="D1319">
        <f>VLOOKUP(A1319,收盤價!A:C,3,0)</f>
        <v>13.1</v>
      </c>
      <c r="E1319" s="188">
        <v>1.9455252918287938E-2</v>
      </c>
      <c r="F1319">
        <v>14.84</v>
      </c>
    </row>
    <row r="1320" spans="1:6">
      <c r="A1320">
        <v>6269</v>
      </c>
      <c r="B1320" t="s">
        <v>1313</v>
      </c>
      <c r="C1320">
        <v>79.3</v>
      </c>
      <c r="D1320">
        <f>VLOOKUP(A1320,收盤價!A:C,3,0)</f>
        <v>90.8</v>
      </c>
      <c r="E1320" s="188">
        <v>0.1450189155107188</v>
      </c>
      <c r="F1320">
        <v>39.9</v>
      </c>
    </row>
    <row r="1321" spans="1:6">
      <c r="A1321">
        <v>6270</v>
      </c>
      <c r="B1321" t="s">
        <v>1765</v>
      </c>
      <c r="C1321">
        <v>9.09</v>
      </c>
      <c r="D1321">
        <f>VLOOKUP(A1321,收盤價!A:C,3,0)</f>
        <v>10.8</v>
      </c>
      <c r="E1321" s="188">
        <v>0.1881188118811882</v>
      </c>
      <c r="F1321">
        <v>50.06</v>
      </c>
    </row>
    <row r="1322" spans="1:6">
      <c r="A1322">
        <v>6271</v>
      </c>
      <c r="B1322" t="s">
        <v>1314</v>
      </c>
      <c r="C1322">
        <v>66.599999999999994</v>
      </c>
      <c r="D1322">
        <f>VLOOKUP(A1322,收盤價!A:C,3,0)</f>
        <v>78.2</v>
      </c>
      <c r="E1322" s="188">
        <v>0.17417417417417433</v>
      </c>
      <c r="F1322">
        <v>46.65</v>
      </c>
    </row>
    <row r="1323" spans="1:6">
      <c r="A1323">
        <v>6274</v>
      </c>
      <c r="B1323" t="s">
        <v>494</v>
      </c>
      <c r="C1323">
        <v>20</v>
      </c>
      <c r="D1323">
        <f>VLOOKUP(A1323,收盤價!A:C,3,0)</f>
        <v>28.6</v>
      </c>
      <c r="E1323" s="188">
        <v>0.43000000000000005</v>
      </c>
      <c r="F1323">
        <v>86.36</v>
      </c>
    </row>
    <row r="1324" spans="1:6">
      <c r="A1324">
        <v>6275</v>
      </c>
      <c r="B1324" t="s">
        <v>1766</v>
      </c>
      <c r="C1324">
        <v>9.65</v>
      </c>
      <c r="D1324">
        <f>VLOOKUP(A1324,收盤價!A:C,3,0)</f>
        <v>13.3</v>
      </c>
      <c r="E1324" s="188">
        <v>0.37823834196891193</v>
      </c>
      <c r="F1324">
        <v>82.45</v>
      </c>
    </row>
    <row r="1325" spans="1:6">
      <c r="A1325">
        <v>6276</v>
      </c>
      <c r="B1325" t="s">
        <v>495</v>
      </c>
      <c r="C1325">
        <v>6.69</v>
      </c>
      <c r="D1325">
        <f>VLOOKUP(A1325,收盤價!A:C,3,0)</f>
        <v>7.56</v>
      </c>
      <c r="E1325" s="188">
        <v>0.13004484304932723</v>
      </c>
      <c r="F1325">
        <v>36.93</v>
      </c>
    </row>
    <row r="1326" spans="1:6">
      <c r="A1326">
        <v>6277</v>
      </c>
      <c r="B1326" t="s">
        <v>1315</v>
      </c>
      <c r="C1326">
        <v>60</v>
      </c>
      <c r="D1326">
        <f>VLOOKUP(A1326,收盤價!A:C,3,0)</f>
        <v>70.3</v>
      </c>
      <c r="E1326" s="188">
        <v>0.17166666666666661</v>
      </c>
      <c r="F1326">
        <v>45.96</v>
      </c>
    </row>
    <row r="1327" spans="1:6">
      <c r="A1327">
        <v>6278</v>
      </c>
      <c r="B1327" t="s">
        <v>1316</v>
      </c>
      <c r="C1327">
        <v>25.5</v>
      </c>
      <c r="D1327">
        <f>VLOOKUP(A1327,收盤價!A:C,3,0)</f>
        <v>30.5</v>
      </c>
      <c r="E1327" s="188">
        <v>0.19607843137254902</v>
      </c>
      <c r="F1327">
        <v>51.96</v>
      </c>
    </row>
    <row r="1328" spans="1:6">
      <c r="A1328">
        <v>6279</v>
      </c>
      <c r="B1328" t="s">
        <v>1767</v>
      </c>
      <c r="C1328">
        <v>102.5</v>
      </c>
      <c r="D1328">
        <f>VLOOKUP(A1328,收盤價!A:C,3,0)</f>
        <v>136.5</v>
      </c>
      <c r="E1328" s="188">
        <v>0.33170731707317075</v>
      </c>
      <c r="F1328">
        <v>76.58</v>
      </c>
    </row>
    <row r="1329" spans="1:6">
      <c r="A1329">
        <v>6281</v>
      </c>
      <c r="B1329" t="s">
        <v>1317</v>
      </c>
      <c r="C1329">
        <v>50</v>
      </c>
      <c r="D1329">
        <f>VLOOKUP(A1329,收盤價!A:C,3,0)</f>
        <v>56.5</v>
      </c>
      <c r="E1329" s="188">
        <v>0.13</v>
      </c>
      <c r="F1329">
        <v>36.869999999999997</v>
      </c>
    </row>
    <row r="1330" spans="1:6">
      <c r="A1330">
        <v>6282</v>
      </c>
      <c r="B1330" t="s">
        <v>1318</v>
      </c>
      <c r="C1330">
        <v>12.85</v>
      </c>
      <c r="D1330">
        <f>VLOOKUP(A1330,收盤價!A:C,3,0)</f>
        <v>23.4</v>
      </c>
      <c r="E1330" s="188">
        <v>0.82101167315175094</v>
      </c>
      <c r="F1330">
        <v>97.73</v>
      </c>
    </row>
    <row r="1331" spans="1:6">
      <c r="A1331">
        <v>6283</v>
      </c>
      <c r="B1331" t="s">
        <v>1319</v>
      </c>
      <c r="C1331">
        <v>3.65</v>
      </c>
      <c r="D1331">
        <f>VLOOKUP(A1331,收盤價!A:C,3,0)</f>
        <v>4.8</v>
      </c>
      <c r="E1331" s="188">
        <v>0.31506849315068491</v>
      </c>
      <c r="F1331">
        <v>74.31</v>
      </c>
    </row>
    <row r="1332" spans="1:6">
      <c r="A1332">
        <v>6284</v>
      </c>
      <c r="B1332" t="s">
        <v>1768</v>
      </c>
      <c r="C1332">
        <v>18</v>
      </c>
      <c r="D1332">
        <f>VLOOKUP(A1332,收盤價!A:C,3,0)</f>
        <v>21.8</v>
      </c>
      <c r="E1332" s="188">
        <v>0.21111111111111114</v>
      </c>
      <c r="F1332">
        <v>55.68</v>
      </c>
    </row>
    <row r="1333" spans="1:6">
      <c r="A1333">
        <v>6285</v>
      </c>
      <c r="B1333" t="s">
        <v>1320</v>
      </c>
      <c r="C1333">
        <v>55.2</v>
      </c>
      <c r="D1333">
        <f>VLOOKUP(A1333,收盤價!A:C,3,0)</f>
        <v>78.099999999999994</v>
      </c>
      <c r="E1333" s="188">
        <v>0.41485507246376796</v>
      </c>
      <c r="F1333">
        <v>85.42</v>
      </c>
    </row>
    <row r="1334" spans="1:6">
      <c r="A1334">
        <v>6286</v>
      </c>
      <c r="B1334" t="s">
        <v>1321</v>
      </c>
      <c r="C1334">
        <v>161</v>
      </c>
      <c r="D1334">
        <f>VLOOKUP(A1334,收盤價!A:C,3,0)</f>
        <v>189.5</v>
      </c>
      <c r="E1334" s="188">
        <v>0.17701863354037267</v>
      </c>
      <c r="F1334">
        <v>47.35</v>
      </c>
    </row>
    <row r="1335" spans="1:6">
      <c r="A1335">
        <v>6287</v>
      </c>
      <c r="B1335" t="s">
        <v>1769</v>
      </c>
      <c r="C1335">
        <v>2.81</v>
      </c>
      <c r="D1335">
        <f>VLOOKUP(A1335,收盤價!A:C,3,0)</f>
        <v>0</v>
      </c>
      <c r="E1335" s="188">
        <v>-1</v>
      </c>
      <c r="F1335">
        <v>3.28</v>
      </c>
    </row>
    <row r="1336" spans="1:6">
      <c r="A1336">
        <v>6289</v>
      </c>
      <c r="B1336" t="s">
        <v>1322</v>
      </c>
      <c r="C1336">
        <v>0.89</v>
      </c>
      <c r="D1336">
        <f>VLOOKUP(A1336,收盤價!A:C,3,0)</f>
        <v>1.31</v>
      </c>
      <c r="E1336" s="188">
        <v>0.4719101123595506</v>
      </c>
      <c r="F1336">
        <v>89.52</v>
      </c>
    </row>
    <row r="1337" spans="1:6">
      <c r="A1337">
        <v>6290</v>
      </c>
      <c r="B1337" t="s">
        <v>1770</v>
      </c>
      <c r="C1337">
        <v>17.850000000000001</v>
      </c>
      <c r="D1337">
        <f>VLOOKUP(A1337,收盤價!A:C,3,0)</f>
        <v>24.6</v>
      </c>
      <c r="E1337" s="188">
        <v>0.37815126050420167</v>
      </c>
      <c r="F1337">
        <v>82.32</v>
      </c>
    </row>
    <row r="1338" spans="1:6">
      <c r="A1338">
        <v>6291</v>
      </c>
      <c r="B1338" t="s">
        <v>496</v>
      </c>
      <c r="C1338">
        <v>0</v>
      </c>
      <c r="F1338">
        <v>0.25</v>
      </c>
    </row>
    <row r="1339" spans="1:6">
      <c r="A1339">
        <v>6292</v>
      </c>
      <c r="B1339" t="s">
        <v>1771</v>
      </c>
      <c r="C1339">
        <v>24.25</v>
      </c>
      <c r="D1339">
        <f>VLOOKUP(A1339,收盤價!A:C,3,0)</f>
        <v>28.8</v>
      </c>
      <c r="E1339" s="188">
        <v>0.18762886597938147</v>
      </c>
      <c r="F1339">
        <v>49.75</v>
      </c>
    </row>
    <row r="1340" spans="1:6">
      <c r="A1340">
        <v>6294</v>
      </c>
      <c r="B1340" t="s">
        <v>1772</v>
      </c>
      <c r="C1340">
        <v>114.5</v>
      </c>
      <c r="D1340">
        <f>VLOOKUP(A1340,收盤價!A:C,3,0)</f>
        <v>102.5</v>
      </c>
      <c r="E1340" s="188">
        <v>-0.10480349344978165</v>
      </c>
      <c r="F1340">
        <v>5.18</v>
      </c>
    </row>
    <row r="1341" spans="1:6">
      <c r="A1341">
        <v>6298</v>
      </c>
      <c r="B1341" t="s">
        <v>1773</v>
      </c>
      <c r="C1341">
        <v>13.3</v>
      </c>
      <c r="D1341">
        <f>VLOOKUP(A1341,收盤價!A:C,3,0)</f>
        <v>17.2</v>
      </c>
      <c r="E1341" s="188">
        <v>0.29323308270676679</v>
      </c>
      <c r="F1341">
        <v>70.64</v>
      </c>
    </row>
    <row r="1342" spans="1:6">
      <c r="A1342">
        <v>6404</v>
      </c>
      <c r="B1342" t="s">
        <v>1774</v>
      </c>
      <c r="C1342">
        <v>39.799999999999997</v>
      </c>
      <c r="D1342">
        <f>VLOOKUP(A1342,收盤價!A:C,3,0)</f>
        <v>49.3</v>
      </c>
      <c r="E1342" s="188">
        <v>0.23869346733668342</v>
      </c>
      <c r="F1342">
        <v>61.3</v>
      </c>
    </row>
    <row r="1343" spans="1:6">
      <c r="A1343">
        <v>6405</v>
      </c>
      <c r="B1343" t="s">
        <v>1323</v>
      </c>
      <c r="C1343">
        <v>17.05</v>
      </c>
      <c r="D1343">
        <f>VLOOKUP(A1343,收盤價!A:C,3,0)</f>
        <v>24.5</v>
      </c>
      <c r="E1343" s="188">
        <v>0.43695014662756593</v>
      </c>
      <c r="F1343">
        <v>87.12</v>
      </c>
    </row>
    <row r="1344" spans="1:6">
      <c r="A1344">
        <v>6409</v>
      </c>
      <c r="B1344" t="s">
        <v>1324</v>
      </c>
      <c r="C1344">
        <v>383</v>
      </c>
      <c r="D1344">
        <f>VLOOKUP(A1344,收盤價!A:C,3,0)</f>
        <v>430</v>
      </c>
      <c r="E1344" s="188">
        <v>0.12271540469973891</v>
      </c>
      <c r="F1344">
        <v>34.909999999999997</v>
      </c>
    </row>
    <row r="1345" spans="1:6">
      <c r="A1345">
        <v>6411</v>
      </c>
      <c r="B1345" t="s">
        <v>497</v>
      </c>
      <c r="C1345">
        <v>19.25</v>
      </c>
      <c r="D1345">
        <f>VLOOKUP(A1345,收盤價!A:C,3,0)</f>
        <v>31.2</v>
      </c>
      <c r="E1345" s="188">
        <v>0.62077922077922076</v>
      </c>
      <c r="F1345">
        <v>94.82</v>
      </c>
    </row>
    <row r="1346" spans="1:6">
      <c r="A1346">
        <v>6412</v>
      </c>
      <c r="B1346" t="s">
        <v>1325</v>
      </c>
      <c r="C1346">
        <v>28.35</v>
      </c>
      <c r="D1346">
        <f>VLOOKUP(A1346,收盤價!A:C,3,0)</f>
        <v>34.799999999999997</v>
      </c>
      <c r="E1346" s="188">
        <v>0.22751322751322736</v>
      </c>
      <c r="F1346">
        <v>58.84</v>
      </c>
    </row>
    <row r="1347" spans="1:6">
      <c r="A1347">
        <v>6414</v>
      </c>
      <c r="B1347" t="s">
        <v>1326</v>
      </c>
      <c r="C1347">
        <v>234.5</v>
      </c>
      <c r="D1347">
        <f>VLOOKUP(A1347,收盤價!A:C,3,0)</f>
        <v>329</v>
      </c>
      <c r="E1347" s="188">
        <v>0.40298507462686567</v>
      </c>
      <c r="F1347">
        <v>84.34</v>
      </c>
    </row>
    <row r="1348" spans="1:6">
      <c r="A1348">
        <v>6415</v>
      </c>
      <c r="B1348" t="s">
        <v>1327</v>
      </c>
      <c r="C1348">
        <v>262</v>
      </c>
      <c r="D1348">
        <f>VLOOKUP(A1348,收盤價!A:C,3,0)</f>
        <v>351.5</v>
      </c>
      <c r="E1348" s="188">
        <v>0.34160305343511449</v>
      </c>
      <c r="F1348">
        <v>77.84</v>
      </c>
    </row>
    <row r="1349" spans="1:6">
      <c r="A1349">
        <v>6419</v>
      </c>
      <c r="B1349" t="s">
        <v>1775</v>
      </c>
      <c r="C1349">
        <v>20</v>
      </c>
      <c r="D1349">
        <f>VLOOKUP(A1349,收盤價!A:C,3,0)</f>
        <v>23.2</v>
      </c>
      <c r="E1349" s="188">
        <v>0.15999999999999998</v>
      </c>
      <c r="F1349">
        <v>43.62</v>
      </c>
    </row>
    <row r="1350" spans="1:6">
      <c r="A1350">
        <v>6422</v>
      </c>
      <c r="B1350" t="s">
        <v>1328</v>
      </c>
      <c r="C1350">
        <v>38.799999999999997</v>
      </c>
      <c r="D1350">
        <f>VLOOKUP(A1350,收盤價!A:C,3,0)</f>
        <v>52.5</v>
      </c>
      <c r="E1350" s="188">
        <v>0.35309278350515472</v>
      </c>
      <c r="F1350">
        <v>79.36</v>
      </c>
    </row>
    <row r="1351" spans="1:6">
      <c r="A1351">
        <v>6426</v>
      </c>
      <c r="B1351" t="s">
        <v>498</v>
      </c>
      <c r="C1351">
        <v>25.2</v>
      </c>
      <c r="D1351">
        <f>VLOOKUP(A1351,收盤價!A:C,3,0)</f>
        <v>36.200000000000003</v>
      </c>
      <c r="E1351" s="188">
        <v>0.43650793650793668</v>
      </c>
      <c r="F1351">
        <v>87.06</v>
      </c>
    </row>
    <row r="1352" spans="1:6">
      <c r="A1352">
        <v>6431</v>
      </c>
      <c r="B1352" t="s">
        <v>1329</v>
      </c>
      <c r="C1352">
        <v>8.6</v>
      </c>
      <c r="D1352">
        <f>VLOOKUP(A1352,收盤價!A:C,3,0)</f>
        <v>12.2</v>
      </c>
      <c r="E1352" s="188">
        <v>0.41860465116279066</v>
      </c>
      <c r="F1352">
        <v>85.86</v>
      </c>
    </row>
    <row r="1353" spans="1:6">
      <c r="A1353">
        <v>6432</v>
      </c>
      <c r="B1353" t="s">
        <v>1776</v>
      </c>
      <c r="C1353">
        <v>23</v>
      </c>
      <c r="D1353">
        <f>VLOOKUP(A1353,收盤價!A:C,3,0)</f>
        <v>27.35</v>
      </c>
      <c r="E1353" s="188">
        <v>0.18913043478260877</v>
      </c>
      <c r="F1353">
        <v>50.51</v>
      </c>
    </row>
    <row r="1354" spans="1:6">
      <c r="A1354">
        <v>6442</v>
      </c>
      <c r="B1354" t="s">
        <v>1330</v>
      </c>
      <c r="C1354">
        <v>41.5</v>
      </c>
      <c r="D1354">
        <f>VLOOKUP(A1354,收盤價!A:C,3,0)</f>
        <v>58.2</v>
      </c>
      <c r="E1354" s="188">
        <v>0.40240963855421691</v>
      </c>
      <c r="F1354">
        <v>84.28</v>
      </c>
    </row>
    <row r="1355" spans="1:6">
      <c r="A1355">
        <v>6449</v>
      </c>
      <c r="B1355" t="s">
        <v>1332</v>
      </c>
      <c r="C1355">
        <v>24.9</v>
      </c>
      <c r="D1355">
        <f>VLOOKUP(A1355,收盤價!A:C,3,0)</f>
        <v>27.45</v>
      </c>
      <c r="E1355" s="188">
        <v>0.10240963855421691</v>
      </c>
      <c r="F1355">
        <v>29.99</v>
      </c>
    </row>
    <row r="1356" spans="1:6">
      <c r="A1356">
        <v>6451</v>
      </c>
      <c r="B1356" t="s">
        <v>1333</v>
      </c>
      <c r="C1356">
        <v>82.4</v>
      </c>
      <c r="D1356">
        <f>VLOOKUP(A1356,收盤價!A:C,3,0)</f>
        <v>120.5</v>
      </c>
      <c r="E1356" s="188">
        <v>0.46237864077669893</v>
      </c>
      <c r="F1356">
        <v>89.02</v>
      </c>
    </row>
    <row r="1357" spans="1:6">
      <c r="A1357">
        <v>6452</v>
      </c>
      <c r="B1357" t="s">
        <v>1334</v>
      </c>
      <c r="C1357">
        <v>148</v>
      </c>
      <c r="D1357">
        <f>VLOOKUP(A1357,收盤價!A:C,3,0)</f>
        <v>328</v>
      </c>
      <c r="E1357" s="188">
        <v>1.2162162162162162</v>
      </c>
      <c r="F1357">
        <v>99.24</v>
      </c>
    </row>
    <row r="1358" spans="1:6">
      <c r="A1358">
        <v>6456</v>
      </c>
      <c r="B1358" t="s">
        <v>1335</v>
      </c>
      <c r="C1358">
        <v>106</v>
      </c>
      <c r="D1358">
        <f>VLOOKUP(A1358,收盤價!A:C,3,0)</f>
        <v>131</v>
      </c>
      <c r="E1358" s="188">
        <v>0.23584905660377359</v>
      </c>
      <c r="F1358">
        <v>60.61</v>
      </c>
    </row>
    <row r="1359" spans="1:6">
      <c r="A1359">
        <v>6457</v>
      </c>
      <c r="B1359" t="s">
        <v>1777</v>
      </c>
      <c r="C1359">
        <v>27.75</v>
      </c>
      <c r="D1359">
        <f>VLOOKUP(A1359,收盤價!A:C,3,0)</f>
        <v>31.9</v>
      </c>
      <c r="E1359" s="188">
        <v>0.14954954954954949</v>
      </c>
      <c r="F1359">
        <v>41.1</v>
      </c>
    </row>
    <row r="1360" spans="1:6">
      <c r="A1360">
        <v>6504</v>
      </c>
      <c r="B1360" t="s">
        <v>1336</v>
      </c>
      <c r="C1360">
        <v>167</v>
      </c>
      <c r="D1360">
        <f>VLOOKUP(A1360,收盤價!A:C,3,0)</f>
        <v>185</v>
      </c>
      <c r="E1360" s="188">
        <v>0.10778443113772455</v>
      </c>
      <c r="F1360">
        <v>31.19</v>
      </c>
    </row>
    <row r="1361" spans="1:6">
      <c r="A1361">
        <v>6505</v>
      </c>
      <c r="B1361" t="s">
        <v>1337</v>
      </c>
      <c r="C1361">
        <v>65.099999999999994</v>
      </c>
      <c r="D1361">
        <f>VLOOKUP(A1361,收盤價!A:C,3,0)</f>
        <v>75.2</v>
      </c>
      <c r="E1361" s="188">
        <v>0.15514592933947788</v>
      </c>
      <c r="F1361">
        <v>42.36</v>
      </c>
    </row>
    <row r="1362" spans="1:6">
      <c r="A1362">
        <v>6506</v>
      </c>
      <c r="B1362" t="s">
        <v>1779</v>
      </c>
      <c r="C1362">
        <v>15.55</v>
      </c>
      <c r="D1362">
        <f>VLOOKUP(A1362,收盤價!A:C,3,0)</f>
        <v>20.350000000000001</v>
      </c>
      <c r="E1362" s="188">
        <v>0.3086816720257235</v>
      </c>
      <c r="F1362">
        <v>73.11</v>
      </c>
    </row>
    <row r="1363" spans="1:6">
      <c r="A1363">
        <v>6508</v>
      </c>
      <c r="B1363" t="s">
        <v>499</v>
      </c>
      <c r="C1363">
        <v>24.8</v>
      </c>
      <c r="D1363">
        <f>VLOOKUP(A1363,收盤價!A:C,3,0)</f>
        <v>28.55</v>
      </c>
      <c r="E1363" s="188">
        <v>0.15120967741935484</v>
      </c>
      <c r="F1363">
        <v>41.35</v>
      </c>
    </row>
    <row r="1364" spans="1:6">
      <c r="A1364">
        <v>6509</v>
      </c>
      <c r="B1364" t="s">
        <v>500</v>
      </c>
      <c r="C1364">
        <v>14.4</v>
      </c>
      <c r="D1364">
        <f>VLOOKUP(A1364,收盤價!A:C,3,0)</f>
        <v>18.75</v>
      </c>
      <c r="E1364" s="188">
        <v>0.30208333333333331</v>
      </c>
      <c r="F1364">
        <v>72.099999999999994</v>
      </c>
    </row>
    <row r="1365" spans="1:6">
      <c r="A1365">
        <v>6603</v>
      </c>
      <c r="B1365" t="s">
        <v>501</v>
      </c>
      <c r="C1365">
        <v>10.5</v>
      </c>
      <c r="D1365">
        <f>VLOOKUP(A1365,收盤價!A:C,3,0)</f>
        <v>11.1</v>
      </c>
      <c r="E1365" s="188">
        <v>5.7142857142857106E-2</v>
      </c>
      <c r="F1365">
        <v>20.64</v>
      </c>
    </row>
    <row r="1366" spans="1:6">
      <c r="A1366">
        <v>6605</v>
      </c>
      <c r="B1366" t="s">
        <v>1338</v>
      </c>
      <c r="C1366">
        <v>88.4</v>
      </c>
      <c r="D1366">
        <f>VLOOKUP(A1366,收盤價!A:C,3,0)</f>
        <v>108</v>
      </c>
      <c r="E1366" s="188">
        <v>0.22171945701357459</v>
      </c>
      <c r="F1366">
        <v>57.89</v>
      </c>
    </row>
    <row r="1367" spans="1:6">
      <c r="A1367">
        <v>6609</v>
      </c>
      <c r="B1367" t="s">
        <v>502</v>
      </c>
      <c r="C1367">
        <v>18.2</v>
      </c>
      <c r="D1367">
        <f>VLOOKUP(A1367,收盤價!A:C,3,0)</f>
        <v>27</v>
      </c>
      <c r="E1367" s="188">
        <v>0.48351648351648358</v>
      </c>
      <c r="F1367">
        <v>89.9</v>
      </c>
    </row>
    <row r="1368" spans="1:6">
      <c r="A1368">
        <v>6702</v>
      </c>
      <c r="B1368" t="s">
        <v>1339</v>
      </c>
      <c r="C1368">
        <v>6.29</v>
      </c>
      <c r="D1368">
        <f>VLOOKUP(A1368,收盤價!A:C,3,0)</f>
        <v>7.67</v>
      </c>
      <c r="E1368" s="188">
        <v>0.21939586645468998</v>
      </c>
      <c r="F1368">
        <v>57.51</v>
      </c>
    </row>
    <row r="1369" spans="1:6">
      <c r="A1369">
        <v>6803</v>
      </c>
      <c r="B1369" t="s">
        <v>1780</v>
      </c>
      <c r="C1369">
        <v>156</v>
      </c>
      <c r="D1369">
        <f>VLOOKUP(A1369,收盤價!A:C,3,0)</f>
        <v>164.5</v>
      </c>
      <c r="E1369" s="188">
        <v>5.4487179487179488E-2</v>
      </c>
      <c r="F1369">
        <v>20.010000000000002</v>
      </c>
    </row>
    <row r="1370" spans="1:6">
      <c r="A1370">
        <v>8011</v>
      </c>
      <c r="B1370" t="s">
        <v>1340</v>
      </c>
      <c r="C1370">
        <v>16.05</v>
      </c>
      <c r="D1370">
        <f>VLOOKUP(A1370,收盤價!A:C,3,0)</f>
        <v>22.75</v>
      </c>
      <c r="E1370" s="188">
        <v>0.41744548286604355</v>
      </c>
      <c r="F1370">
        <v>85.73</v>
      </c>
    </row>
    <row r="1371" spans="1:6">
      <c r="A1371">
        <v>8016</v>
      </c>
      <c r="B1371" t="s">
        <v>1341</v>
      </c>
      <c r="C1371">
        <v>79.900000000000006</v>
      </c>
      <c r="D1371">
        <f>VLOOKUP(A1371,收盤價!A:C,3,0)</f>
        <v>92.5</v>
      </c>
      <c r="E1371" s="188">
        <v>0.1576971214017521</v>
      </c>
      <c r="F1371">
        <v>43.18</v>
      </c>
    </row>
    <row r="1372" spans="1:6">
      <c r="A1372">
        <v>8021</v>
      </c>
      <c r="B1372" t="s">
        <v>1342</v>
      </c>
      <c r="C1372">
        <v>19.5</v>
      </c>
      <c r="D1372">
        <f>VLOOKUP(A1372,收盤價!A:C,3,0)</f>
        <v>25.8</v>
      </c>
      <c r="E1372" s="188">
        <v>0.32307692307692309</v>
      </c>
      <c r="F1372">
        <v>75.319999999999993</v>
      </c>
    </row>
    <row r="1373" spans="1:6">
      <c r="A1373">
        <v>8024</v>
      </c>
      <c r="B1373" t="s">
        <v>503</v>
      </c>
      <c r="C1373">
        <v>9.49</v>
      </c>
      <c r="D1373">
        <f>VLOOKUP(A1373,收盤價!A:C,3,0)</f>
        <v>10.95</v>
      </c>
      <c r="E1373" s="188">
        <v>0.15384615384615374</v>
      </c>
      <c r="F1373">
        <v>41.92</v>
      </c>
    </row>
    <row r="1374" spans="1:6">
      <c r="A1374">
        <v>8027</v>
      </c>
      <c r="B1374" t="s">
        <v>1781</v>
      </c>
      <c r="C1374">
        <v>16.2</v>
      </c>
      <c r="D1374">
        <f>VLOOKUP(A1374,收盤價!A:C,3,0)</f>
        <v>19.7</v>
      </c>
      <c r="E1374" s="188">
        <v>0.2160493827160494</v>
      </c>
      <c r="F1374">
        <v>56.82</v>
      </c>
    </row>
    <row r="1375" spans="1:6">
      <c r="A1375">
        <v>8032</v>
      </c>
      <c r="B1375" t="s">
        <v>1782</v>
      </c>
      <c r="C1375">
        <v>27.25</v>
      </c>
      <c r="D1375">
        <f>VLOOKUP(A1375,收盤價!A:C,3,0)</f>
        <v>28.2</v>
      </c>
      <c r="E1375" s="188">
        <v>3.4862385321100892E-2</v>
      </c>
      <c r="F1375">
        <v>16.86</v>
      </c>
    </row>
    <row r="1376" spans="1:6">
      <c r="A1376">
        <v>8033</v>
      </c>
      <c r="B1376" t="s">
        <v>1343</v>
      </c>
      <c r="C1376">
        <v>8.6999999999999993</v>
      </c>
      <c r="D1376">
        <f>VLOOKUP(A1376,收盤價!A:C,3,0)</f>
        <v>9.8000000000000007</v>
      </c>
      <c r="E1376" s="188">
        <v>0.12643678160919558</v>
      </c>
      <c r="F1376">
        <v>36.049999999999997</v>
      </c>
    </row>
    <row r="1377" spans="1:6">
      <c r="A1377">
        <v>8034</v>
      </c>
      <c r="B1377" t="s">
        <v>1783</v>
      </c>
      <c r="C1377">
        <v>5.66</v>
      </c>
      <c r="D1377">
        <f>VLOOKUP(A1377,收盤價!A:C,3,0)</f>
        <v>6.34</v>
      </c>
      <c r="E1377" s="188">
        <v>0.1201413427561837</v>
      </c>
      <c r="F1377">
        <v>34.090000000000003</v>
      </c>
    </row>
    <row r="1378" spans="1:6">
      <c r="A1378">
        <v>8038</v>
      </c>
      <c r="B1378" t="s">
        <v>504</v>
      </c>
      <c r="C1378">
        <v>23.95</v>
      </c>
      <c r="D1378">
        <f>VLOOKUP(A1378,收盤價!A:C,3,0)</f>
        <v>37</v>
      </c>
      <c r="E1378" s="188">
        <v>0.54488517745302723</v>
      </c>
      <c r="F1378">
        <v>92.55</v>
      </c>
    </row>
    <row r="1379" spans="1:6">
      <c r="A1379">
        <v>8039</v>
      </c>
      <c r="B1379" t="s">
        <v>1344</v>
      </c>
      <c r="C1379">
        <v>31.15</v>
      </c>
      <c r="D1379">
        <f>VLOOKUP(A1379,收盤價!A:C,3,0)</f>
        <v>37.6</v>
      </c>
      <c r="E1379" s="188">
        <v>0.20706260032102738</v>
      </c>
      <c r="F1379">
        <v>54.29</v>
      </c>
    </row>
    <row r="1380" spans="1:6">
      <c r="A1380">
        <v>8040</v>
      </c>
      <c r="B1380" t="s">
        <v>1784</v>
      </c>
      <c r="C1380">
        <v>6.8</v>
      </c>
      <c r="D1380">
        <f>VLOOKUP(A1380,收盤價!A:C,3,0)</f>
        <v>7.52</v>
      </c>
      <c r="E1380" s="188">
        <v>0.10588235294117644</v>
      </c>
      <c r="F1380">
        <v>30.56</v>
      </c>
    </row>
    <row r="1381" spans="1:6">
      <c r="A1381">
        <v>8042</v>
      </c>
      <c r="B1381" t="s">
        <v>1785</v>
      </c>
      <c r="C1381">
        <v>32.9</v>
      </c>
      <c r="D1381">
        <f>VLOOKUP(A1381,收盤價!A:C,3,0)</f>
        <v>35.6</v>
      </c>
      <c r="E1381" s="188">
        <v>8.2066869300911949E-2</v>
      </c>
      <c r="F1381">
        <v>25.25</v>
      </c>
    </row>
    <row r="1382" spans="1:6">
      <c r="A1382">
        <v>8043</v>
      </c>
      <c r="B1382" t="s">
        <v>1786</v>
      </c>
      <c r="C1382">
        <v>12.3</v>
      </c>
      <c r="D1382">
        <f>VLOOKUP(A1382,收盤價!A:C,3,0)</f>
        <v>14.75</v>
      </c>
      <c r="E1382" s="188">
        <v>0.19918699186991862</v>
      </c>
      <c r="F1382">
        <v>52.71</v>
      </c>
    </row>
    <row r="1383" spans="1:6">
      <c r="A1383">
        <v>8044</v>
      </c>
      <c r="B1383" t="s">
        <v>1787</v>
      </c>
      <c r="C1383">
        <v>301.5</v>
      </c>
      <c r="D1383">
        <f>VLOOKUP(A1383,收盤價!A:C,3,0)</f>
        <v>348.5</v>
      </c>
      <c r="E1383" s="188">
        <v>0.1558872305140962</v>
      </c>
      <c r="F1383">
        <v>42.55</v>
      </c>
    </row>
    <row r="1384" spans="1:6">
      <c r="A1384">
        <v>8046</v>
      </c>
      <c r="B1384" t="s">
        <v>1345</v>
      </c>
      <c r="C1384">
        <v>21.8</v>
      </c>
      <c r="D1384">
        <f>VLOOKUP(A1384,收盤價!A:C,3,0)</f>
        <v>32.6</v>
      </c>
      <c r="E1384" s="188">
        <v>0.49541284403669728</v>
      </c>
      <c r="F1384">
        <v>90.4</v>
      </c>
    </row>
    <row r="1385" spans="1:6">
      <c r="A1385">
        <v>8047</v>
      </c>
      <c r="B1385" t="s">
        <v>1788</v>
      </c>
      <c r="C1385">
        <v>11.75</v>
      </c>
      <c r="D1385">
        <f>VLOOKUP(A1385,收盤價!A:C,3,0)</f>
        <v>11.3</v>
      </c>
      <c r="E1385" s="188">
        <v>-3.8297872340425469E-2</v>
      </c>
      <c r="F1385">
        <v>8.65</v>
      </c>
    </row>
    <row r="1386" spans="1:6">
      <c r="A1386">
        <v>8048</v>
      </c>
      <c r="B1386" t="s">
        <v>1789</v>
      </c>
      <c r="C1386">
        <v>37.75</v>
      </c>
      <c r="D1386">
        <f>VLOOKUP(A1386,收盤價!A:C,3,0)</f>
        <v>51.6</v>
      </c>
      <c r="E1386" s="188">
        <v>0.36688741721854307</v>
      </c>
      <c r="F1386">
        <v>81.31</v>
      </c>
    </row>
    <row r="1387" spans="1:6">
      <c r="A1387">
        <v>8049</v>
      </c>
      <c r="B1387" t="s">
        <v>1790</v>
      </c>
      <c r="C1387">
        <v>6.92</v>
      </c>
      <c r="D1387">
        <f>VLOOKUP(A1387,收盤價!A:C,3,0)</f>
        <v>9.99</v>
      </c>
      <c r="E1387" s="188">
        <v>0.44364161849710987</v>
      </c>
      <c r="F1387">
        <v>87.69</v>
      </c>
    </row>
    <row r="1388" spans="1:6">
      <c r="A1388">
        <v>8050</v>
      </c>
      <c r="B1388" t="s">
        <v>1791</v>
      </c>
      <c r="C1388">
        <v>42.75</v>
      </c>
      <c r="D1388">
        <f>VLOOKUP(A1388,收盤價!A:C,3,0)</f>
        <v>49.65</v>
      </c>
      <c r="E1388" s="188">
        <v>0.1614035087719298</v>
      </c>
      <c r="F1388">
        <v>43.94</v>
      </c>
    </row>
    <row r="1389" spans="1:6">
      <c r="A1389">
        <v>8053</v>
      </c>
      <c r="B1389" t="s">
        <v>1792</v>
      </c>
      <c r="C1389">
        <v>1.63</v>
      </c>
      <c r="D1389">
        <f>VLOOKUP(A1389,收盤價!A:C,3,0)</f>
        <v>0</v>
      </c>
      <c r="E1389" s="188">
        <v>-1</v>
      </c>
      <c r="F1389">
        <v>3.03</v>
      </c>
    </row>
    <row r="1390" spans="1:6">
      <c r="A1390">
        <v>8054</v>
      </c>
      <c r="B1390" t="s">
        <v>505</v>
      </c>
      <c r="C1390">
        <v>19.95</v>
      </c>
      <c r="D1390">
        <f>VLOOKUP(A1390,收盤價!A:C,3,0)</f>
        <v>20.6</v>
      </c>
      <c r="E1390" s="188">
        <v>3.2581453634085322E-2</v>
      </c>
      <c r="F1390">
        <v>16.48</v>
      </c>
    </row>
    <row r="1391" spans="1:6">
      <c r="A1391">
        <v>8059</v>
      </c>
      <c r="B1391" t="s">
        <v>1793</v>
      </c>
      <c r="C1391">
        <v>11.75</v>
      </c>
      <c r="D1391">
        <f>VLOOKUP(A1391,收盤價!A:C,3,0)</f>
        <v>10.85</v>
      </c>
      <c r="E1391" s="188">
        <v>-7.6595744680851091E-2</v>
      </c>
      <c r="F1391">
        <v>6.44</v>
      </c>
    </row>
    <row r="1392" spans="1:6">
      <c r="A1392">
        <v>8064</v>
      </c>
      <c r="B1392" t="s">
        <v>506</v>
      </c>
      <c r="C1392">
        <v>9</v>
      </c>
      <c r="D1392">
        <f>VLOOKUP(A1392,收盤價!A:C,3,0)</f>
        <v>11.95</v>
      </c>
      <c r="E1392" s="188">
        <v>0.32777777777777772</v>
      </c>
      <c r="F1392">
        <v>75.88</v>
      </c>
    </row>
    <row r="1393" spans="1:6">
      <c r="A1393">
        <v>8066</v>
      </c>
      <c r="B1393" t="s">
        <v>1794</v>
      </c>
      <c r="C1393">
        <v>75.5</v>
      </c>
      <c r="D1393">
        <f>VLOOKUP(A1393,收盤價!A:C,3,0)</f>
        <v>95</v>
      </c>
      <c r="E1393" s="188">
        <v>0.25827814569536423</v>
      </c>
      <c r="F1393">
        <v>64.77</v>
      </c>
    </row>
    <row r="1394" spans="1:6">
      <c r="A1394">
        <v>8067</v>
      </c>
      <c r="B1394" t="s">
        <v>1795</v>
      </c>
      <c r="C1394">
        <v>5.43</v>
      </c>
      <c r="D1394">
        <f>VLOOKUP(A1394,收盤價!A:C,3,0)</f>
        <v>5.73</v>
      </c>
      <c r="E1394" s="188">
        <v>5.5248618784530523E-2</v>
      </c>
      <c r="F1394">
        <v>20.2</v>
      </c>
    </row>
    <row r="1395" spans="1:6">
      <c r="A1395">
        <v>8068</v>
      </c>
      <c r="B1395" t="s">
        <v>507</v>
      </c>
      <c r="C1395">
        <v>0</v>
      </c>
      <c r="F1395">
        <v>0.19</v>
      </c>
    </row>
    <row r="1396" spans="1:6">
      <c r="A1396">
        <v>8069</v>
      </c>
      <c r="B1396" t="s">
        <v>1796</v>
      </c>
      <c r="C1396">
        <v>10.35</v>
      </c>
      <c r="D1396">
        <f>VLOOKUP(A1396,收盤價!A:C,3,0)</f>
        <v>15</v>
      </c>
      <c r="E1396" s="188">
        <v>0.44927536231884063</v>
      </c>
      <c r="F1396">
        <v>88.19</v>
      </c>
    </row>
    <row r="1397" spans="1:6">
      <c r="A1397">
        <v>8070</v>
      </c>
      <c r="B1397" t="s">
        <v>1346</v>
      </c>
      <c r="C1397">
        <v>73.400000000000006</v>
      </c>
      <c r="D1397">
        <f>VLOOKUP(A1397,收盤價!A:C,3,0)</f>
        <v>87.3</v>
      </c>
      <c r="E1397" s="188">
        <v>0.18937329700272468</v>
      </c>
      <c r="F1397">
        <v>50.63</v>
      </c>
    </row>
    <row r="1398" spans="1:6">
      <c r="A1398">
        <v>8071</v>
      </c>
      <c r="B1398" t="s">
        <v>508</v>
      </c>
      <c r="C1398">
        <v>11.95</v>
      </c>
      <c r="D1398">
        <f>VLOOKUP(A1398,收盤價!A:C,3,0)</f>
        <v>13.85</v>
      </c>
      <c r="E1398" s="188">
        <v>0.15899581589958162</v>
      </c>
      <c r="F1398">
        <v>43.43</v>
      </c>
    </row>
    <row r="1399" spans="1:6">
      <c r="A1399">
        <v>8072</v>
      </c>
      <c r="B1399" t="s">
        <v>1347</v>
      </c>
      <c r="C1399">
        <v>24</v>
      </c>
      <c r="D1399">
        <f>VLOOKUP(A1399,收盤價!A:C,3,0)</f>
        <v>26.1</v>
      </c>
      <c r="E1399" s="188">
        <v>8.7500000000000064E-2</v>
      </c>
      <c r="F1399">
        <v>26.77</v>
      </c>
    </row>
    <row r="1400" spans="1:6">
      <c r="A1400">
        <v>8074</v>
      </c>
      <c r="B1400" t="s">
        <v>1797</v>
      </c>
      <c r="C1400">
        <v>21.35</v>
      </c>
      <c r="D1400">
        <f>VLOOKUP(A1400,收盤價!A:C,3,0)</f>
        <v>25.15</v>
      </c>
      <c r="E1400" s="188">
        <v>0.17798594847775162</v>
      </c>
      <c r="F1400">
        <v>47.6</v>
      </c>
    </row>
    <row r="1401" spans="1:6">
      <c r="A1401">
        <v>8076</v>
      </c>
      <c r="B1401" t="s">
        <v>1798</v>
      </c>
      <c r="C1401">
        <v>76</v>
      </c>
      <c r="D1401">
        <f>VLOOKUP(A1401,收盤價!A:C,3,0)</f>
        <v>95.4</v>
      </c>
      <c r="E1401" s="188">
        <v>0.25526315789473691</v>
      </c>
      <c r="F1401">
        <v>64.08</v>
      </c>
    </row>
    <row r="1402" spans="1:6">
      <c r="A1402">
        <v>8077</v>
      </c>
      <c r="B1402" t="s">
        <v>1870</v>
      </c>
      <c r="C1402">
        <v>54</v>
      </c>
      <c r="D1402">
        <f>VLOOKUP(A1402,收盤價!A:C,3,0)</f>
        <v>59.4</v>
      </c>
      <c r="E1402" s="188">
        <v>9.9999999999999978E-2</v>
      </c>
      <c r="F1402">
        <v>29.55</v>
      </c>
    </row>
    <row r="1403" spans="1:6">
      <c r="A1403">
        <v>8079</v>
      </c>
      <c r="B1403" t="s">
        <v>1800</v>
      </c>
      <c r="C1403">
        <v>11.95</v>
      </c>
      <c r="D1403">
        <f>VLOOKUP(A1403,收盤價!A:C,3,0)</f>
        <v>12.55</v>
      </c>
      <c r="E1403" s="188">
        <v>5.0209205020920626E-2</v>
      </c>
      <c r="F1403">
        <v>19.07</v>
      </c>
    </row>
    <row r="1404" spans="1:6">
      <c r="A1404">
        <v>8080</v>
      </c>
      <c r="B1404" t="s">
        <v>509</v>
      </c>
      <c r="C1404">
        <v>8.35</v>
      </c>
      <c r="D1404">
        <f>VLOOKUP(A1404,收盤價!A:C,3,0)</f>
        <v>14.4</v>
      </c>
      <c r="E1404" s="188">
        <v>0.72455089820359297</v>
      </c>
      <c r="F1404">
        <v>96.72</v>
      </c>
    </row>
    <row r="1405" spans="1:6">
      <c r="A1405">
        <v>8081</v>
      </c>
      <c r="B1405" t="s">
        <v>1348</v>
      </c>
      <c r="C1405">
        <v>47.85</v>
      </c>
      <c r="D1405">
        <f>VLOOKUP(A1405,收盤價!A:C,3,0)</f>
        <v>57.1</v>
      </c>
      <c r="E1405" s="188">
        <v>0.19331243469174503</v>
      </c>
      <c r="F1405">
        <v>51.2</v>
      </c>
    </row>
    <row r="1406" spans="1:6">
      <c r="A1406">
        <v>8082</v>
      </c>
      <c r="B1406" t="s">
        <v>510</v>
      </c>
      <c r="C1406">
        <v>1.87</v>
      </c>
      <c r="D1406">
        <f>VLOOKUP(A1406,收盤價!A:C,3,0)</f>
        <v>2.7</v>
      </c>
      <c r="E1406" s="188">
        <v>0.44385026737967914</v>
      </c>
      <c r="F1406">
        <v>87.75</v>
      </c>
    </row>
    <row r="1407" spans="1:6">
      <c r="A1407">
        <v>8083</v>
      </c>
      <c r="B1407" t="s">
        <v>511</v>
      </c>
      <c r="C1407">
        <v>127</v>
      </c>
      <c r="D1407">
        <f>VLOOKUP(A1407,收盤價!A:C,3,0)</f>
        <v>136</v>
      </c>
      <c r="E1407" s="188">
        <v>7.0866141732283464E-2</v>
      </c>
      <c r="F1407">
        <v>22.35</v>
      </c>
    </row>
    <row r="1408" spans="1:6">
      <c r="A1408">
        <v>8084</v>
      </c>
      <c r="B1408" t="s">
        <v>1801</v>
      </c>
      <c r="C1408">
        <v>20.45</v>
      </c>
      <c r="D1408">
        <f>VLOOKUP(A1408,收盤價!A:C,3,0)</f>
        <v>23.5</v>
      </c>
      <c r="E1408" s="188">
        <v>0.14914425427872866</v>
      </c>
      <c r="F1408">
        <v>41.04</v>
      </c>
    </row>
    <row r="1409" spans="1:6">
      <c r="A1409">
        <v>8085</v>
      </c>
      <c r="B1409" t="s">
        <v>512</v>
      </c>
      <c r="C1409">
        <v>3.83</v>
      </c>
      <c r="D1409">
        <f>VLOOKUP(A1409,收盤價!A:C,3,0)</f>
        <v>4.5</v>
      </c>
      <c r="E1409" s="188">
        <v>0.17493472584856395</v>
      </c>
      <c r="F1409">
        <v>46.91</v>
      </c>
    </row>
    <row r="1410" spans="1:6">
      <c r="A1410">
        <v>8086</v>
      </c>
      <c r="B1410" t="s">
        <v>1802</v>
      </c>
      <c r="C1410">
        <v>62.5</v>
      </c>
      <c r="D1410">
        <f>VLOOKUP(A1410,收盤價!A:C,3,0)</f>
        <v>73.400000000000006</v>
      </c>
      <c r="E1410" s="188">
        <v>0.17440000000000008</v>
      </c>
      <c r="F1410">
        <v>46.78</v>
      </c>
    </row>
    <row r="1411" spans="1:6">
      <c r="A1411">
        <v>8087</v>
      </c>
      <c r="B1411" t="s">
        <v>513</v>
      </c>
      <c r="C1411">
        <v>7.03</v>
      </c>
      <c r="D1411">
        <f>VLOOKUP(A1411,收盤價!A:C,3,0)</f>
        <v>0</v>
      </c>
      <c r="E1411" s="188">
        <v>-1</v>
      </c>
      <c r="F1411">
        <v>2.71</v>
      </c>
    </row>
    <row r="1412" spans="1:6">
      <c r="A1412">
        <v>8088</v>
      </c>
      <c r="B1412" t="s">
        <v>514</v>
      </c>
      <c r="C1412">
        <v>12.25</v>
      </c>
      <c r="D1412">
        <f>VLOOKUP(A1412,收盤價!A:C,3,0)</f>
        <v>16.850000000000001</v>
      </c>
      <c r="E1412" s="188">
        <v>0.37551020408163277</v>
      </c>
      <c r="F1412">
        <v>81.88</v>
      </c>
    </row>
    <row r="1413" spans="1:6">
      <c r="A1413">
        <v>8091</v>
      </c>
      <c r="B1413" t="s">
        <v>1803</v>
      </c>
      <c r="C1413">
        <v>45.8</v>
      </c>
      <c r="D1413">
        <f>VLOOKUP(A1413,收盤價!A:C,3,0)</f>
        <v>61.1</v>
      </c>
      <c r="E1413" s="188">
        <v>0.33406113537117915</v>
      </c>
      <c r="F1413">
        <v>76.83</v>
      </c>
    </row>
    <row r="1414" spans="1:6">
      <c r="A1414">
        <v>8092</v>
      </c>
      <c r="B1414" t="s">
        <v>1804</v>
      </c>
      <c r="C1414">
        <v>9.9</v>
      </c>
      <c r="D1414">
        <f>VLOOKUP(A1414,收盤價!A:C,3,0)</f>
        <v>8.4499999999999993</v>
      </c>
      <c r="E1414" s="188">
        <v>-0.14646464646464658</v>
      </c>
      <c r="F1414">
        <v>4.2300000000000004</v>
      </c>
    </row>
    <row r="1415" spans="1:6">
      <c r="A1415">
        <v>8093</v>
      </c>
      <c r="B1415" t="s">
        <v>1805</v>
      </c>
      <c r="C1415">
        <v>4.5999999999999996</v>
      </c>
      <c r="D1415">
        <f>VLOOKUP(A1415,收盤價!A:C,3,0)</f>
        <v>5.34</v>
      </c>
      <c r="E1415" s="188">
        <v>0.16086956521739137</v>
      </c>
      <c r="F1415">
        <v>43.88</v>
      </c>
    </row>
    <row r="1416" spans="1:6">
      <c r="A1416">
        <v>8096</v>
      </c>
      <c r="B1416" t="s">
        <v>1806</v>
      </c>
      <c r="C1416">
        <v>14.2</v>
      </c>
      <c r="D1416">
        <f>VLOOKUP(A1416,收盤價!A:C,3,0)</f>
        <v>29.5</v>
      </c>
      <c r="E1416" s="188">
        <v>1.0774647887323945</v>
      </c>
      <c r="F1416">
        <v>98.93</v>
      </c>
    </row>
    <row r="1417" spans="1:6">
      <c r="A1417">
        <v>8097</v>
      </c>
      <c r="B1417" t="s">
        <v>1807</v>
      </c>
      <c r="C1417">
        <v>14</v>
      </c>
      <c r="D1417">
        <f>VLOOKUP(A1417,收盤價!A:C,3,0)</f>
        <v>12.7</v>
      </c>
      <c r="E1417" s="188">
        <v>-9.2857142857142902E-2</v>
      </c>
      <c r="F1417">
        <v>5.81</v>
      </c>
    </row>
    <row r="1418" spans="1:6">
      <c r="A1418">
        <v>8099</v>
      </c>
      <c r="B1418" t="s">
        <v>1808</v>
      </c>
      <c r="C1418">
        <v>14.5</v>
      </c>
      <c r="D1418">
        <f>VLOOKUP(A1418,收盤價!A:C,3,0)</f>
        <v>17.100000000000001</v>
      </c>
      <c r="E1418" s="188">
        <v>0.17931034482758632</v>
      </c>
      <c r="F1418">
        <v>47.79</v>
      </c>
    </row>
    <row r="1419" spans="1:6">
      <c r="A1419">
        <v>8101</v>
      </c>
      <c r="B1419" t="s">
        <v>1349</v>
      </c>
      <c r="C1419">
        <v>8.5500000000000007</v>
      </c>
      <c r="D1419">
        <f>VLOOKUP(A1419,收盤價!A:C,3,0)</f>
        <v>8.5</v>
      </c>
      <c r="E1419" s="188">
        <v>-5.8479532163743519E-3</v>
      </c>
      <c r="F1419">
        <v>11.24</v>
      </c>
    </row>
    <row r="1420" spans="1:6">
      <c r="A1420">
        <v>8103</v>
      </c>
      <c r="B1420" t="s">
        <v>1350</v>
      </c>
      <c r="C1420">
        <v>24</v>
      </c>
      <c r="D1420">
        <f>VLOOKUP(A1420,收盤價!A:C,3,0)</f>
        <v>27</v>
      </c>
      <c r="E1420" s="188">
        <v>0.125</v>
      </c>
      <c r="F1420">
        <v>35.61</v>
      </c>
    </row>
    <row r="1421" spans="1:6">
      <c r="A1421">
        <v>8105</v>
      </c>
      <c r="B1421" t="s">
        <v>1351</v>
      </c>
      <c r="C1421">
        <v>5.85</v>
      </c>
      <c r="D1421">
        <f>VLOOKUP(A1421,收盤價!A:C,3,0)</f>
        <v>17.45</v>
      </c>
      <c r="E1421" s="188">
        <v>1.982905982905983</v>
      </c>
      <c r="F1421">
        <v>99.75</v>
      </c>
    </row>
    <row r="1422" spans="1:6">
      <c r="A1422">
        <v>8107</v>
      </c>
      <c r="B1422" t="s">
        <v>515</v>
      </c>
      <c r="C1422">
        <v>14.35</v>
      </c>
      <c r="D1422">
        <f>VLOOKUP(A1422,收盤價!A:C,3,0)</f>
        <v>18.850000000000001</v>
      </c>
      <c r="E1422" s="188">
        <v>0.31358885017421617</v>
      </c>
      <c r="F1422">
        <v>74.12</v>
      </c>
    </row>
    <row r="1423" spans="1:6">
      <c r="A1423">
        <v>8109</v>
      </c>
      <c r="B1423" t="s">
        <v>1809</v>
      </c>
      <c r="C1423">
        <v>49.2</v>
      </c>
      <c r="D1423">
        <f>VLOOKUP(A1423,收盤價!A:C,3,0)</f>
        <v>63.6</v>
      </c>
      <c r="E1423" s="188">
        <v>0.29268292682926822</v>
      </c>
      <c r="F1423">
        <v>70.58</v>
      </c>
    </row>
    <row r="1424" spans="1:6">
      <c r="A1424">
        <v>8110</v>
      </c>
      <c r="B1424" t="s">
        <v>1352</v>
      </c>
      <c r="C1424">
        <v>6.75</v>
      </c>
      <c r="D1424">
        <f>VLOOKUP(A1424,收盤價!A:C,3,0)</f>
        <v>9.7799999999999994</v>
      </c>
      <c r="E1424" s="188">
        <v>0.44888888888888878</v>
      </c>
      <c r="F1424">
        <v>88.13</v>
      </c>
    </row>
    <row r="1425" spans="1:6">
      <c r="A1425">
        <v>8111</v>
      </c>
      <c r="B1425" t="s">
        <v>1810</v>
      </c>
      <c r="C1425">
        <v>3.53</v>
      </c>
      <c r="D1425">
        <f>VLOOKUP(A1425,收盤價!A:C,3,0)</f>
        <v>4.47</v>
      </c>
      <c r="E1425" s="188">
        <v>0.26628895184135976</v>
      </c>
      <c r="F1425">
        <v>65.97</v>
      </c>
    </row>
    <row r="1426" spans="1:6">
      <c r="A1426">
        <v>8112</v>
      </c>
      <c r="B1426" t="s">
        <v>1353</v>
      </c>
      <c r="C1426">
        <v>10.9</v>
      </c>
      <c r="D1426">
        <f>VLOOKUP(A1426,收盤價!A:C,3,0)</f>
        <v>13.8</v>
      </c>
      <c r="E1426" s="188">
        <v>0.26605504587155965</v>
      </c>
      <c r="F1426">
        <v>65.849999999999994</v>
      </c>
    </row>
    <row r="1427" spans="1:6">
      <c r="A1427">
        <v>8114</v>
      </c>
      <c r="B1427" t="s">
        <v>1354</v>
      </c>
      <c r="C1427">
        <v>136</v>
      </c>
      <c r="D1427">
        <f>VLOOKUP(A1427,收盤價!A:C,3,0)</f>
        <v>161</v>
      </c>
      <c r="E1427" s="188">
        <v>0.18382352941176472</v>
      </c>
      <c r="F1427">
        <v>49.31</v>
      </c>
    </row>
    <row r="1428" spans="1:6">
      <c r="A1428">
        <v>8121</v>
      </c>
      <c r="B1428" t="s">
        <v>1811</v>
      </c>
      <c r="C1428">
        <v>9.68</v>
      </c>
      <c r="D1428">
        <f>VLOOKUP(A1428,收盤價!A:C,3,0)</f>
        <v>15</v>
      </c>
      <c r="E1428" s="188">
        <v>0.54958677685950419</v>
      </c>
      <c r="F1428">
        <v>92.74</v>
      </c>
    </row>
    <row r="1429" spans="1:6">
      <c r="A1429">
        <v>8131</v>
      </c>
      <c r="B1429" t="s">
        <v>1355</v>
      </c>
      <c r="C1429">
        <v>16.100000000000001</v>
      </c>
      <c r="D1429">
        <f>VLOOKUP(A1429,收盤價!A:C,3,0)</f>
        <v>20.55</v>
      </c>
      <c r="E1429" s="188">
        <v>0.27639751552795022</v>
      </c>
      <c r="F1429">
        <v>67.989999999999995</v>
      </c>
    </row>
    <row r="1430" spans="1:6">
      <c r="A1430">
        <v>8147</v>
      </c>
      <c r="B1430" t="s">
        <v>1812</v>
      </c>
      <c r="C1430">
        <v>34.5</v>
      </c>
      <c r="D1430">
        <f>VLOOKUP(A1430,收盤價!A:C,3,0)</f>
        <v>54</v>
      </c>
      <c r="E1430" s="188">
        <v>0.56521739130434778</v>
      </c>
      <c r="F1430">
        <v>93.06</v>
      </c>
    </row>
    <row r="1431" spans="1:6">
      <c r="A1431">
        <v>8150</v>
      </c>
      <c r="B1431" t="s">
        <v>1356</v>
      </c>
      <c r="C1431">
        <v>29.45</v>
      </c>
      <c r="D1431">
        <f>VLOOKUP(A1431,收盤價!A:C,3,0)</f>
        <v>35.200000000000003</v>
      </c>
      <c r="E1431" s="188">
        <v>0.19524617996604426</v>
      </c>
      <c r="F1431">
        <v>51.7</v>
      </c>
    </row>
    <row r="1432" spans="1:6">
      <c r="A1432">
        <v>8155</v>
      </c>
      <c r="B1432" t="s">
        <v>1813</v>
      </c>
      <c r="C1432">
        <v>13.05</v>
      </c>
      <c r="D1432">
        <f>VLOOKUP(A1432,收盤價!A:C,3,0)</f>
        <v>18.100000000000001</v>
      </c>
      <c r="E1432" s="188">
        <v>0.3869731800766284</v>
      </c>
      <c r="F1432">
        <v>83.21</v>
      </c>
    </row>
    <row r="1433" spans="1:6">
      <c r="A1433">
        <v>8163</v>
      </c>
      <c r="B1433" t="s">
        <v>1357</v>
      </c>
      <c r="C1433">
        <v>13</v>
      </c>
      <c r="D1433">
        <f>VLOOKUP(A1433,收盤價!A:C,3,0)</f>
        <v>16.95</v>
      </c>
      <c r="E1433" s="188">
        <v>0.30384615384615377</v>
      </c>
      <c r="F1433">
        <v>72.41</v>
      </c>
    </row>
    <row r="1434" spans="1:6">
      <c r="A1434">
        <v>8171</v>
      </c>
      <c r="B1434" t="s">
        <v>1814</v>
      </c>
      <c r="C1434">
        <v>5.69</v>
      </c>
      <c r="D1434">
        <f>VLOOKUP(A1434,收盤價!A:C,3,0)</f>
        <v>8.19</v>
      </c>
      <c r="E1434" s="188">
        <v>0.43936731107205607</v>
      </c>
      <c r="F1434">
        <v>87.31</v>
      </c>
    </row>
    <row r="1435" spans="1:6">
      <c r="A1435">
        <v>8176</v>
      </c>
      <c r="B1435" t="s">
        <v>1815</v>
      </c>
      <c r="C1435">
        <v>5.13</v>
      </c>
      <c r="D1435">
        <f>VLOOKUP(A1435,收盤價!A:C,3,0)</f>
        <v>8.1</v>
      </c>
      <c r="E1435" s="188">
        <v>0.57894736842105254</v>
      </c>
      <c r="F1435">
        <v>93.43</v>
      </c>
    </row>
    <row r="1436" spans="1:6">
      <c r="A1436">
        <v>8182</v>
      </c>
      <c r="B1436" t="s">
        <v>1816</v>
      </c>
      <c r="C1436">
        <v>9.9</v>
      </c>
      <c r="D1436">
        <f>VLOOKUP(A1436,收盤價!A:C,3,0)</f>
        <v>12.45</v>
      </c>
      <c r="E1436" s="188">
        <v>0.25757575757575746</v>
      </c>
      <c r="F1436">
        <v>64.650000000000006</v>
      </c>
    </row>
    <row r="1437" spans="1:6">
      <c r="A1437">
        <v>8183</v>
      </c>
      <c r="B1437" t="s">
        <v>1817</v>
      </c>
      <c r="C1437">
        <v>5.15</v>
      </c>
      <c r="D1437">
        <f>VLOOKUP(A1437,收盤價!A:C,3,0)</f>
        <v>5.4</v>
      </c>
      <c r="E1437" s="188">
        <v>4.8543689320388349E-2</v>
      </c>
      <c r="F1437">
        <v>18.809999999999999</v>
      </c>
    </row>
    <row r="1438" spans="1:6">
      <c r="A1438">
        <v>8201</v>
      </c>
      <c r="B1438" t="s">
        <v>1358</v>
      </c>
      <c r="C1438">
        <v>5.51</v>
      </c>
      <c r="D1438">
        <f>VLOOKUP(A1438,收盤價!A:C,3,0)</f>
        <v>8.58</v>
      </c>
      <c r="E1438" s="188">
        <v>0.55716878402903813</v>
      </c>
      <c r="F1438">
        <v>92.87</v>
      </c>
    </row>
    <row r="1439" spans="1:6">
      <c r="A1439">
        <v>8210</v>
      </c>
      <c r="B1439" t="s">
        <v>1359</v>
      </c>
      <c r="C1439">
        <v>27.45</v>
      </c>
      <c r="D1439">
        <f>VLOOKUP(A1439,收盤價!A:C,3,0)</f>
        <v>34</v>
      </c>
      <c r="E1439" s="188">
        <v>0.23861566484517308</v>
      </c>
      <c r="F1439">
        <v>61.17</v>
      </c>
    </row>
    <row r="1440" spans="1:6">
      <c r="A1440">
        <v>8213</v>
      </c>
      <c r="B1440" t="s">
        <v>1360</v>
      </c>
      <c r="C1440">
        <v>29.85</v>
      </c>
      <c r="D1440">
        <f>VLOOKUP(A1440,收盤價!A:C,3,0)</f>
        <v>34.549999999999997</v>
      </c>
      <c r="E1440" s="188">
        <v>0.15745393634840857</v>
      </c>
      <c r="F1440">
        <v>43.12</v>
      </c>
    </row>
    <row r="1441" spans="1:6">
      <c r="A1441">
        <v>8215</v>
      </c>
      <c r="B1441" t="s">
        <v>1361</v>
      </c>
      <c r="C1441">
        <v>13.85</v>
      </c>
      <c r="D1441">
        <f>VLOOKUP(A1441,收盤價!A:C,3,0)</f>
        <v>22.65</v>
      </c>
      <c r="E1441" s="188">
        <v>0.63537906137184108</v>
      </c>
      <c r="F1441">
        <v>95.27</v>
      </c>
    </row>
    <row r="1442" spans="1:6">
      <c r="A1442">
        <v>8222</v>
      </c>
      <c r="B1442" t="s">
        <v>1362</v>
      </c>
      <c r="C1442">
        <v>15.95</v>
      </c>
      <c r="D1442">
        <f>VLOOKUP(A1442,收盤價!A:C,3,0)</f>
        <v>23.45</v>
      </c>
      <c r="E1442" s="188">
        <v>0.47021943573667713</v>
      </c>
      <c r="F1442">
        <v>89.39</v>
      </c>
    </row>
    <row r="1443" spans="1:6">
      <c r="A1443">
        <v>8234</v>
      </c>
      <c r="B1443" t="s">
        <v>516</v>
      </c>
      <c r="C1443">
        <v>21.6</v>
      </c>
      <c r="D1443">
        <f>VLOOKUP(A1443,收盤價!A:C,3,0)</f>
        <v>28.6</v>
      </c>
      <c r="E1443" s="188">
        <v>0.32407407407407407</v>
      </c>
      <c r="F1443">
        <v>75.44</v>
      </c>
    </row>
    <row r="1444" spans="1:6">
      <c r="A1444">
        <v>8240</v>
      </c>
      <c r="B1444" t="s">
        <v>1818</v>
      </c>
      <c r="C1444">
        <v>14.75</v>
      </c>
      <c r="D1444">
        <f>VLOOKUP(A1444,收盤價!A:C,3,0)</f>
        <v>20.3</v>
      </c>
      <c r="E1444" s="188">
        <v>0.37627118644067803</v>
      </c>
      <c r="F1444">
        <v>82.01</v>
      </c>
    </row>
    <row r="1445" spans="1:6">
      <c r="A1445">
        <v>8249</v>
      </c>
      <c r="B1445" t="s">
        <v>1363</v>
      </c>
      <c r="C1445">
        <v>18.55</v>
      </c>
      <c r="D1445">
        <f>VLOOKUP(A1445,收盤價!A:C,3,0)</f>
        <v>22.85</v>
      </c>
      <c r="E1445" s="188">
        <v>0.23180592991913748</v>
      </c>
      <c r="F1445">
        <v>59.97</v>
      </c>
    </row>
    <row r="1446" spans="1:6">
      <c r="A1446">
        <v>8255</v>
      </c>
      <c r="B1446" t="s">
        <v>1819</v>
      </c>
      <c r="C1446">
        <v>86</v>
      </c>
      <c r="D1446">
        <f>VLOOKUP(A1446,收盤價!A:C,3,0)</f>
        <v>104.5</v>
      </c>
      <c r="E1446" s="188">
        <v>0.21511627906976744</v>
      </c>
      <c r="F1446">
        <v>56.57</v>
      </c>
    </row>
    <row r="1447" spans="1:6">
      <c r="A1447">
        <v>8261</v>
      </c>
      <c r="B1447" t="s">
        <v>1364</v>
      </c>
      <c r="C1447">
        <v>16.649999999999999</v>
      </c>
      <c r="D1447">
        <f>VLOOKUP(A1447,收盤價!A:C,3,0)</f>
        <v>30.5</v>
      </c>
      <c r="E1447" s="188">
        <v>0.83183183183183196</v>
      </c>
      <c r="F1447">
        <v>97.98</v>
      </c>
    </row>
    <row r="1448" spans="1:6">
      <c r="A1448">
        <v>8266</v>
      </c>
      <c r="B1448" t="s">
        <v>1820</v>
      </c>
      <c r="C1448">
        <v>27.85</v>
      </c>
      <c r="D1448">
        <f>VLOOKUP(A1448,收盤價!A:C,3,0)</f>
        <v>30.65</v>
      </c>
      <c r="E1448" s="188">
        <v>0.10053859964093347</v>
      </c>
      <c r="F1448">
        <v>29.67</v>
      </c>
    </row>
    <row r="1449" spans="1:6">
      <c r="A1449">
        <v>8271</v>
      </c>
      <c r="B1449" t="s">
        <v>1365</v>
      </c>
      <c r="C1449">
        <v>15</v>
      </c>
      <c r="D1449">
        <f>VLOOKUP(A1449,收盤價!A:C,3,0)</f>
        <v>18.45</v>
      </c>
      <c r="E1449" s="188">
        <v>0.22999999999999995</v>
      </c>
      <c r="F1449">
        <v>59.47</v>
      </c>
    </row>
    <row r="1450" spans="1:6">
      <c r="A1450">
        <v>8277</v>
      </c>
      <c r="B1450" t="s">
        <v>1821</v>
      </c>
      <c r="C1450">
        <v>4.34</v>
      </c>
      <c r="D1450">
        <f>VLOOKUP(A1450,收盤價!A:C,3,0)</f>
        <v>7.55</v>
      </c>
      <c r="E1450" s="188">
        <v>0.73963133640552992</v>
      </c>
      <c r="F1450">
        <v>96.91</v>
      </c>
    </row>
    <row r="1451" spans="1:6">
      <c r="A1451">
        <v>8287</v>
      </c>
      <c r="B1451" t="s">
        <v>1822</v>
      </c>
      <c r="C1451">
        <v>14.65</v>
      </c>
      <c r="D1451">
        <f>VLOOKUP(A1451,收盤價!A:C,3,0)</f>
        <v>16</v>
      </c>
      <c r="E1451" s="188">
        <v>9.2150170648464133E-2</v>
      </c>
      <c r="F1451">
        <v>27.97</v>
      </c>
    </row>
    <row r="1452" spans="1:6">
      <c r="A1452">
        <v>8289</v>
      </c>
      <c r="B1452" t="s">
        <v>1823</v>
      </c>
      <c r="C1452">
        <v>9.19</v>
      </c>
      <c r="D1452">
        <f>VLOOKUP(A1452,收盤價!A:C,3,0)</f>
        <v>10.6</v>
      </c>
      <c r="E1452" s="188">
        <v>0.15342763873775847</v>
      </c>
      <c r="F1452">
        <v>41.79</v>
      </c>
    </row>
    <row r="1453" spans="1:6">
      <c r="A1453">
        <v>8291</v>
      </c>
      <c r="B1453" t="s">
        <v>1824</v>
      </c>
      <c r="C1453">
        <v>5.78</v>
      </c>
      <c r="D1453">
        <f>VLOOKUP(A1453,收盤價!A:C,3,0)</f>
        <v>5.3</v>
      </c>
      <c r="E1453" s="188">
        <v>-8.3044982698962003E-2</v>
      </c>
      <c r="F1453">
        <v>6.12</v>
      </c>
    </row>
    <row r="1454" spans="1:6">
      <c r="A1454">
        <v>8299</v>
      </c>
      <c r="B1454" t="s">
        <v>1825</v>
      </c>
      <c r="C1454">
        <v>201</v>
      </c>
      <c r="D1454">
        <f>VLOOKUP(A1454,收盤價!A:C,3,0)</f>
        <v>252</v>
      </c>
      <c r="E1454" s="188">
        <v>0.2537313432835821</v>
      </c>
      <c r="F1454">
        <v>63.64</v>
      </c>
    </row>
    <row r="1455" spans="1:6">
      <c r="A1455">
        <v>8341</v>
      </c>
      <c r="B1455" t="s">
        <v>1366</v>
      </c>
      <c r="C1455">
        <v>80.2</v>
      </c>
      <c r="D1455">
        <f>VLOOKUP(A1455,收盤價!A:C,3,0)</f>
        <v>113</v>
      </c>
      <c r="E1455" s="188">
        <v>0.40897755610972564</v>
      </c>
      <c r="F1455">
        <v>84.79</v>
      </c>
    </row>
    <row r="1456" spans="1:6">
      <c r="A1456">
        <v>8349</v>
      </c>
      <c r="B1456" t="s">
        <v>1826</v>
      </c>
      <c r="C1456">
        <v>80.2</v>
      </c>
      <c r="D1456">
        <f>VLOOKUP(A1456,收盤價!A:C,3,0)</f>
        <v>82</v>
      </c>
      <c r="E1456" s="188">
        <v>2.2443890274314177E-2</v>
      </c>
      <c r="F1456">
        <v>15.28</v>
      </c>
    </row>
    <row r="1457" spans="1:6">
      <c r="A1457">
        <v>8354</v>
      </c>
      <c r="B1457" t="s">
        <v>1827</v>
      </c>
      <c r="C1457">
        <v>11.85</v>
      </c>
      <c r="D1457">
        <f>VLOOKUP(A1457,收盤價!A:C,3,0)</f>
        <v>14.9</v>
      </c>
      <c r="E1457" s="188">
        <v>0.25738396624472581</v>
      </c>
      <c r="F1457">
        <v>64.58</v>
      </c>
    </row>
    <row r="1458" spans="1:6">
      <c r="A1458">
        <v>8358</v>
      </c>
      <c r="B1458" t="s">
        <v>1828</v>
      </c>
      <c r="C1458">
        <v>8.5500000000000007</v>
      </c>
      <c r="D1458">
        <f>VLOOKUP(A1458,收盤價!A:C,3,0)</f>
        <v>8.6999999999999993</v>
      </c>
      <c r="E1458" s="188">
        <v>1.754385964912264E-2</v>
      </c>
      <c r="F1458">
        <v>14.65</v>
      </c>
    </row>
    <row r="1459" spans="1:6">
      <c r="A1459">
        <v>8374</v>
      </c>
      <c r="B1459" t="s">
        <v>1367</v>
      </c>
      <c r="C1459">
        <v>9.27</v>
      </c>
      <c r="D1459">
        <f>VLOOKUP(A1459,收盤價!A:C,3,0)</f>
        <v>11.1</v>
      </c>
      <c r="E1459" s="188">
        <v>0.19741100323624597</v>
      </c>
      <c r="F1459">
        <v>52.34</v>
      </c>
    </row>
    <row r="1460" spans="1:6">
      <c r="A1460">
        <v>8383</v>
      </c>
      <c r="B1460" t="s">
        <v>517</v>
      </c>
      <c r="C1460">
        <v>40.1</v>
      </c>
      <c r="D1460">
        <f>VLOOKUP(A1460,收盤價!A:C,3,0)</f>
        <v>51.9</v>
      </c>
      <c r="E1460" s="188">
        <v>0.29426433915211964</v>
      </c>
      <c r="F1460">
        <v>70.77</v>
      </c>
    </row>
    <row r="1461" spans="1:6">
      <c r="A1461">
        <v>8390</v>
      </c>
      <c r="B1461" t="s">
        <v>1829</v>
      </c>
      <c r="C1461">
        <v>11.8</v>
      </c>
      <c r="D1461">
        <f>VLOOKUP(A1461,收盤價!A:C,3,0)</f>
        <v>15.25</v>
      </c>
      <c r="E1461" s="188">
        <v>0.29237288135593215</v>
      </c>
      <c r="F1461">
        <v>70.45</v>
      </c>
    </row>
    <row r="1462" spans="1:6">
      <c r="A1462">
        <v>8401</v>
      </c>
      <c r="B1462" t="s">
        <v>1830</v>
      </c>
      <c r="C1462">
        <v>11.65</v>
      </c>
      <c r="D1462">
        <f>VLOOKUP(A1462,收盤價!A:C,3,0)</f>
        <v>12</v>
      </c>
      <c r="E1462" s="188">
        <v>3.0042918454935591E-2</v>
      </c>
      <c r="F1462">
        <v>16.16</v>
      </c>
    </row>
    <row r="1463" spans="1:6">
      <c r="A1463">
        <v>8403</v>
      </c>
      <c r="B1463" t="s">
        <v>1831</v>
      </c>
      <c r="C1463">
        <v>35.299999999999997</v>
      </c>
      <c r="D1463">
        <f>VLOOKUP(A1463,收盤價!A:C,3,0)</f>
        <v>40.65</v>
      </c>
      <c r="E1463" s="188">
        <v>0.15155807365439097</v>
      </c>
      <c r="F1463">
        <v>41.41</v>
      </c>
    </row>
    <row r="1464" spans="1:6">
      <c r="A1464">
        <v>8404</v>
      </c>
      <c r="B1464" t="s">
        <v>1368</v>
      </c>
      <c r="C1464">
        <v>21.7</v>
      </c>
      <c r="D1464">
        <f>VLOOKUP(A1464,收盤價!A:C,3,0)</f>
        <v>34.6</v>
      </c>
      <c r="E1464" s="188">
        <v>0.5944700460829494</v>
      </c>
      <c r="F1464">
        <v>93.88</v>
      </c>
    </row>
    <row r="1465" spans="1:6">
      <c r="A1465">
        <v>8406</v>
      </c>
      <c r="B1465" t="s">
        <v>1832</v>
      </c>
      <c r="C1465">
        <v>305</v>
      </c>
      <c r="D1465">
        <f>VLOOKUP(A1465,收盤價!A:C,3,0)</f>
        <v>372</v>
      </c>
      <c r="E1465" s="188">
        <v>0.21967213114754097</v>
      </c>
      <c r="F1465">
        <v>57.58</v>
      </c>
    </row>
    <row r="1466" spans="1:6">
      <c r="A1466">
        <v>8409</v>
      </c>
      <c r="B1466" t="s">
        <v>1833</v>
      </c>
      <c r="C1466">
        <v>21.5</v>
      </c>
      <c r="D1466">
        <f>VLOOKUP(A1466,收盤價!A:C,3,0)</f>
        <v>31.25</v>
      </c>
      <c r="E1466" s="188">
        <v>0.45348837209302323</v>
      </c>
      <c r="F1466">
        <v>88.32</v>
      </c>
    </row>
    <row r="1467" spans="1:6">
      <c r="A1467">
        <v>8410</v>
      </c>
      <c r="B1467" t="s">
        <v>518</v>
      </c>
      <c r="C1467">
        <v>15.75</v>
      </c>
      <c r="D1467">
        <f>VLOOKUP(A1467,收盤價!A:C,3,0)</f>
        <v>20.95</v>
      </c>
      <c r="E1467" s="188">
        <v>0.3301587301587301</v>
      </c>
      <c r="F1467">
        <v>76.33</v>
      </c>
    </row>
    <row r="1468" spans="1:6">
      <c r="A1468">
        <v>8411</v>
      </c>
      <c r="B1468" t="s">
        <v>1369</v>
      </c>
      <c r="C1468">
        <v>23.85</v>
      </c>
      <c r="D1468">
        <f>VLOOKUP(A1468,收盤價!A:C,3,0)</f>
        <v>25.85</v>
      </c>
      <c r="E1468" s="188">
        <v>8.3857442348008376E-2</v>
      </c>
      <c r="F1468">
        <v>26.01</v>
      </c>
    </row>
    <row r="1469" spans="1:6">
      <c r="A1469">
        <v>8416</v>
      </c>
      <c r="B1469" t="s">
        <v>519</v>
      </c>
      <c r="C1469">
        <v>93.2</v>
      </c>
      <c r="D1469">
        <f>VLOOKUP(A1469,收盤價!A:C,3,0)</f>
        <v>102</v>
      </c>
      <c r="E1469" s="188">
        <v>9.4420600858369064E-2</v>
      </c>
      <c r="F1469">
        <v>28.41</v>
      </c>
    </row>
    <row r="1470" spans="1:6">
      <c r="A1470">
        <v>8418</v>
      </c>
      <c r="B1470" t="s">
        <v>1834</v>
      </c>
      <c r="C1470">
        <v>18.850000000000001</v>
      </c>
      <c r="D1470">
        <f>VLOOKUP(A1470,收盤價!A:C,3,0)</f>
        <v>16.95</v>
      </c>
      <c r="E1470" s="188">
        <v>-0.10079575596816986</v>
      </c>
      <c r="F1470">
        <v>5.43</v>
      </c>
    </row>
    <row r="1471" spans="1:6">
      <c r="A1471">
        <v>8420</v>
      </c>
      <c r="B1471" t="s">
        <v>520</v>
      </c>
      <c r="C1471">
        <v>16.350000000000001</v>
      </c>
      <c r="D1471">
        <f>VLOOKUP(A1471,收盤價!A:C,3,0)</f>
        <v>22</v>
      </c>
      <c r="E1471" s="188">
        <v>0.3455657492354739</v>
      </c>
      <c r="F1471">
        <v>78.47</v>
      </c>
    </row>
    <row r="1472" spans="1:6">
      <c r="A1472">
        <v>8421</v>
      </c>
      <c r="B1472" t="s">
        <v>521</v>
      </c>
      <c r="C1472">
        <v>10.199999999999999</v>
      </c>
      <c r="D1472">
        <f>VLOOKUP(A1472,收盤價!A:C,3,0)</f>
        <v>12.5</v>
      </c>
      <c r="E1472" s="188">
        <v>0.22549019607843146</v>
      </c>
      <c r="F1472">
        <v>58.59</v>
      </c>
    </row>
    <row r="1473" spans="1:6">
      <c r="A1473">
        <v>8422</v>
      </c>
      <c r="B1473" t="s">
        <v>1370</v>
      </c>
      <c r="C1473">
        <v>130</v>
      </c>
      <c r="D1473">
        <f>VLOOKUP(A1473,收盤價!A:C,3,0)</f>
        <v>166</v>
      </c>
      <c r="E1473" s="188">
        <v>0.27692307692307694</v>
      </c>
      <c r="F1473">
        <v>68.12</v>
      </c>
    </row>
    <row r="1474" spans="1:6">
      <c r="A1474">
        <v>8423</v>
      </c>
      <c r="B1474" t="s">
        <v>1835</v>
      </c>
      <c r="C1474">
        <v>22.55</v>
      </c>
      <c r="D1474">
        <f>VLOOKUP(A1474,收盤價!A:C,3,0)</f>
        <v>23.55</v>
      </c>
      <c r="E1474" s="188">
        <v>4.4345898004434586E-2</v>
      </c>
      <c r="F1474">
        <v>18.43</v>
      </c>
    </row>
    <row r="1475" spans="1:6">
      <c r="A1475">
        <v>8424</v>
      </c>
      <c r="B1475" t="s">
        <v>522</v>
      </c>
      <c r="C1475">
        <v>36.15</v>
      </c>
      <c r="D1475">
        <f>VLOOKUP(A1475,收盤價!A:C,3,0)</f>
        <v>39.1</v>
      </c>
      <c r="E1475" s="188">
        <v>8.1604426002766337E-2</v>
      </c>
      <c r="F1475">
        <v>25.06</v>
      </c>
    </row>
    <row r="1476" spans="1:6">
      <c r="A1476">
        <v>8426</v>
      </c>
      <c r="B1476" t="s">
        <v>1836</v>
      </c>
      <c r="C1476">
        <v>20.85</v>
      </c>
      <c r="D1476">
        <f>VLOOKUP(A1476,收盤價!A:C,3,0)</f>
        <v>28.3</v>
      </c>
      <c r="E1476" s="188">
        <v>0.3573141486810551</v>
      </c>
      <c r="F1476">
        <v>79.86</v>
      </c>
    </row>
    <row r="1477" spans="1:6">
      <c r="A1477">
        <v>8427</v>
      </c>
      <c r="B1477" t="s">
        <v>1371</v>
      </c>
      <c r="C1477">
        <v>40.799999999999997</v>
      </c>
      <c r="D1477">
        <f>VLOOKUP(A1477,收盤價!A:C,3,0)</f>
        <v>54.8</v>
      </c>
      <c r="E1477" s="188">
        <v>0.34313725490196079</v>
      </c>
      <c r="F1477">
        <v>78.03</v>
      </c>
    </row>
    <row r="1478" spans="1:6">
      <c r="A1478">
        <v>8429</v>
      </c>
      <c r="B1478" t="s">
        <v>1372</v>
      </c>
      <c r="C1478">
        <v>49.95</v>
      </c>
      <c r="D1478">
        <f>VLOOKUP(A1478,收盤價!A:C,3,0)</f>
        <v>64.099999999999994</v>
      </c>
      <c r="E1478" s="188">
        <v>0.28328328328328312</v>
      </c>
      <c r="F1478">
        <v>69.13</v>
      </c>
    </row>
    <row r="1479" spans="1:6">
      <c r="A1479">
        <v>8431</v>
      </c>
      <c r="B1479" t="s">
        <v>523</v>
      </c>
      <c r="C1479">
        <v>48.9</v>
      </c>
      <c r="D1479">
        <f>VLOOKUP(A1479,收盤價!A:C,3,0)</f>
        <v>51.4</v>
      </c>
      <c r="E1479" s="188">
        <v>5.112474437627812E-2</v>
      </c>
      <c r="F1479">
        <v>19.32</v>
      </c>
    </row>
    <row r="1480" spans="1:6">
      <c r="A1480">
        <v>8432</v>
      </c>
      <c r="B1480" t="s">
        <v>524</v>
      </c>
      <c r="C1480">
        <v>38.799999999999997</v>
      </c>
      <c r="D1480">
        <f>VLOOKUP(A1480,收盤價!A:C,3,0)</f>
        <v>56.5</v>
      </c>
      <c r="E1480" s="188">
        <v>0.45618556701030938</v>
      </c>
      <c r="F1480">
        <v>88.57</v>
      </c>
    </row>
    <row r="1481" spans="1:6">
      <c r="A1481">
        <v>8433</v>
      </c>
      <c r="B1481" t="s">
        <v>525</v>
      </c>
      <c r="C1481">
        <v>68.900000000000006</v>
      </c>
      <c r="D1481">
        <f>VLOOKUP(A1481,收盤價!A:C,3,0)</f>
        <v>121</v>
      </c>
      <c r="E1481" s="188">
        <v>0.75616835994194476</v>
      </c>
      <c r="F1481">
        <v>97.22</v>
      </c>
    </row>
    <row r="1482" spans="1:6">
      <c r="A1482">
        <v>8435</v>
      </c>
      <c r="B1482" t="s">
        <v>526</v>
      </c>
      <c r="C1482">
        <v>46.9</v>
      </c>
      <c r="D1482">
        <f>VLOOKUP(A1482,收盤價!A:C,3,0)</f>
        <v>47</v>
      </c>
      <c r="E1482" s="188">
        <v>2.1321961620469386E-3</v>
      </c>
      <c r="F1482">
        <v>12.31</v>
      </c>
    </row>
    <row r="1483" spans="1:6">
      <c r="A1483">
        <v>8436</v>
      </c>
      <c r="B1483" t="s">
        <v>1837</v>
      </c>
      <c r="C1483">
        <v>63.5</v>
      </c>
      <c r="D1483">
        <f>VLOOKUP(A1483,收盤價!A:C,3,0)</f>
        <v>91.1</v>
      </c>
      <c r="E1483" s="188">
        <v>0.43464566929133847</v>
      </c>
      <c r="F1483">
        <v>86.87</v>
      </c>
    </row>
    <row r="1484" spans="1:6">
      <c r="A1484">
        <v>8437</v>
      </c>
      <c r="B1484" t="s">
        <v>1838</v>
      </c>
      <c r="C1484">
        <v>104.5</v>
      </c>
      <c r="D1484">
        <f>VLOOKUP(A1484,收盤價!A:C,3,0)</f>
        <v>137</v>
      </c>
      <c r="E1484" s="188">
        <v>0.31100478468899523</v>
      </c>
      <c r="F1484">
        <v>73.67</v>
      </c>
    </row>
    <row r="1485" spans="1:6">
      <c r="A1485">
        <v>8443</v>
      </c>
      <c r="B1485" t="s">
        <v>1373</v>
      </c>
      <c r="C1485">
        <v>20.8</v>
      </c>
      <c r="D1485">
        <f>VLOOKUP(A1485,收盤價!A:C,3,0)</f>
        <v>22.7</v>
      </c>
      <c r="E1485" s="188">
        <v>9.1346153846153771E-2</v>
      </c>
      <c r="F1485">
        <v>27.65</v>
      </c>
    </row>
    <row r="1486" spans="1:6">
      <c r="A1486">
        <v>8446</v>
      </c>
      <c r="B1486" t="s">
        <v>1839</v>
      </c>
      <c r="C1486">
        <v>62.5</v>
      </c>
      <c r="D1486">
        <f>VLOOKUP(A1486,收盤價!A:C,3,0)</f>
        <v>94</v>
      </c>
      <c r="E1486" s="188">
        <v>0.504</v>
      </c>
      <c r="F1486">
        <v>91.1</v>
      </c>
    </row>
    <row r="1487" spans="1:6">
      <c r="A1487">
        <v>8450</v>
      </c>
      <c r="B1487" t="s">
        <v>527</v>
      </c>
      <c r="C1487">
        <v>57</v>
      </c>
      <c r="D1487">
        <f>VLOOKUP(A1487,收盤價!A:C,3,0)</f>
        <v>77.599999999999994</v>
      </c>
      <c r="E1487" s="188">
        <v>0.36140350877192973</v>
      </c>
      <c r="F1487">
        <v>80.489999999999995</v>
      </c>
    </row>
    <row r="1488" spans="1:6">
      <c r="A1488">
        <v>8454</v>
      </c>
      <c r="B1488" t="s">
        <v>1374</v>
      </c>
      <c r="C1488">
        <v>197.5</v>
      </c>
      <c r="D1488">
        <f>VLOOKUP(A1488,收盤價!A:C,3,0)</f>
        <v>196</v>
      </c>
      <c r="E1488" s="188">
        <v>-7.5949367088607592E-3</v>
      </c>
      <c r="F1488">
        <v>11.17</v>
      </c>
    </row>
    <row r="1489" spans="1:6">
      <c r="A1489">
        <v>8463</v>
      </c>
      <c r="B1489" t="s">
        <v>1375</v>
      </c>
      <c r="C1489">
        <v>24.15</v>
      </c>
      <c r="D1489">
        <f>VLOOKUP(A1489,收盤價!A:C,3,0)</f>
        <v>25.95</v>
      </c>
      <c r="E1489" s="188">
        <v>7.4534161490683259E-2</v>
      </c>
      <c r="F1489">
        <v>23.36</v>
      </c>
    </row>
    <row r="1490" spans="1:6">
      <c r="A1490">
        <v>8905</v>
      </c>
      <c r="B1490" t="s">
        <v>1840</v>
      </c>
      <c r="C1490">
        <v>11.1</v>
      </c>
      <c r="D1490">
        <f>VLOOKUP(A1490,收盤價!A:C,3,0)</f>
        <v>14.8</v>
      </c>
      <c r="E1490" s="188">
        <v>0.33333333333333343</v>
      </c>
      <c r="F1490">
        <v>76.77</v>
      </c>
    </row>
    <row r="1491" spans="1:6">
      <c r="A1491">
        <v>8906</v>
      </c>
      <c r="B1491" t="s">
        <v>1841</v>
      </c>
      <c r="C1491">
        <v>7.28</v>
      </c>
      <c r="D1491">
        <f>VLOOKUP(A1491,收盤價!A:C,3,0)</f>
        <v>0</v>
      </c>
      <c r="E1491" s="188">
        <v>-1</v>
      </c>
      <c r="F1491">
        <v>3.09</v>
      </c>
    </row>
    <row r="1492" spans="1:6">
      <c r="A1492">
        <v>8908</v>
      </c>
      <c r="B1492" t="s">
        <v>528</v>
      </c>
      <c r="C1492">
        <v>35.1</v>
      </c>
      <c r="D1492">
        <f>VLOOKUP(A1492,收盤價!A:C,3,0)</f>
        <v>36.5</v>
      </c>
      <c r="E1492" s="188">
        <v>3.9886039886039844E-2</v>
      </c>
      <c r="F1492">
        <v>17.489999999999998</v>
      </c>
    </row>
    <row r="1493" spans="1:6">
      <c r="A1493">
        <v>8913</v>
      </c>
      <c r="B1493" t="s">
        <v>529</v>
      </c>
      <c r="C1493">
        <v>15.55</v>
      </c>
      <c r="D1493">
        <f>VLOOKUP(A1493,收盤價!A:C,3,0)</f>
        <v>14.8</v>
      </c>
      <c r="E1493" s="188">
        <v>-4.8231511254019289E-2</v>
      </c>
      <c r="F1493">
        <v>8.08</v>
      </c>
    </row>
    <row r="1494" spans="1:6">
      <c r="A1494">
        <v>8916</v>
      </c>
      <c r="B1494" t="s">
        <v>530</v>
      </c>
      <c r="C1494">
        <v>25.2</v>
      </c>
      <c r="D1494">
        <f>VLOOKUP(A1494,收盤價!A:C,3,0)</f>
        <v>45.9</v>
      </c>
      <c r="E1494" s="188">
        <v>0.8214285714285714</v>
      </c>
      <c r="F1494">
        <v>97.79</v>
      </c>
    </row>
    <row r="1495" spans="1:6">
      <c r="A1495">
        <v>8917</v>
      </c>
      <c r="B1495" t="s">
        <v>531</v>
      </c>
      <c r="C1495">
        <v>0</v>
      </c>
      <c r="F1495">
        <v>0.13</v>
      </c>
    </row>
    <row r="1496" spans="1:6">
      <c r="A1496">
        <v>8921</v>
      </c>
      <c r="B1496" t="s">
        <v>1842</v>
      </c>
      <c r="C1496">
        <v>0</v>
      </c>
      <c r="F1496">
        <v>0.06</v>
      </c>
    </row>
    <row r="1497" spans="1:6">
      <c r="A1497">
        <v>8923</v>
      </c>
      <c r="B1497" t="s">
        <v>1843</v>
      </c>
      <c r="C1497">
        <v>16.7</v>
      </c>
      <c r="D1497">
        <f>VLOOKUP(A1497,收盤價!A:C,3,0)</f>
        <v>0</v>
      </c>
      <c r="E1497" s="188">
        <v>-1</v>
      </c>
      <c r="F1497">
        <v>2.59</v>
      </c>
    </row>
    <row r="1498" spans="1:6">
      <c r="A1498">
        <v>8924</v>
      </c>
      <c r="B1498" t="s">
        <v>1844</v>
      </c>
      <c r="C1498">
        <v>12.95</v>
      </c>
      <c r="D1498">
        <f>VLOOKUP(A1498,收盤價!A:C,3,0)</f>
        <v>19.149999999999999</v>
      </c>
      <c r="E1498" s="188">
        <v>0.47876447876447875</v>
      </c>
      <c r="F1498">
        <v>89.71</v>
      </c>
    </row>
    <row r="1499" spans="1:6">
      <c r="A1499">
        <v>8925</v>
      </c>
      <c r="B1499" t="s">
        <v>1845</v>
      </c>
      <c r="C1499">
        <v>1.9</v>
      </c>
      <c r="D1499" t="e">
        <f>VLOOKUP(A1499,收盤價!A:C,3,0)</f>
        <v>#N/A</v>
      </c>
      <c r="F1499">
        <v>0</v>
      </c>
    </row>
    <row r="1500" spans="1:6">
      <c r="A1500">
        <v>8926</v>
      </c>
      <c r="B1500" t="s">
        <v>1376</v>
      </c>
      <c r="C1500">
        <v>20.2</v>
      </c>
      <c r="D1500">
        <f>VLOOKUP(A1500,收盤價!A:C,3,0)</f>
        <v>22.65</v>
      </c>
      <c r="E1500" s="188">
        <v>0.12128712871287126</v>
      </c>
      <c r="F1500">
        <v>34.340000000000003</v>
      </c>
    </row>
    <row r="1501" spans="1:6">
      <c r="A1501">
        <v>8927</v>
      </c>
      <c r="B1501" t="s">
        <v>532</v>
      </c>
      <c r="C1501">
        <v>9.89</v>
      </c>
      <c r="D1501">
        <f>VLOOKUP(A1501,收盤價!A:C,3,0)</f>
        <v>9.6</v>
      </c>
      <c r="E1501" s="188">
        <v>-2.9322548028311517E-2</v>
      </c>
      <c r="F1501">
        <v>9.34</v>
      </c>
    </row>
    <row r="1502" spans="1:6">
      <c r="A1502">
        <v>8928</v>
      </c>
      <c r="B1502" t="s">
        <v>533</v>
      </c>
      <c r="C1502">
        <v>42.3</v>
      </c>
      <c r="D1502">
        <f>VLOOKUP(A1502,收盤價!A:C,3,0)</f>
        <v>38.85</v>
      </c>
      <c r="E1502" s="188">
        <v>-8.1560283687943172E-2</v>
      </c>
      <c r="F1502">
        <v>6.19</v>
      </c>
    </row>
    <row r="1503" spans="1:6">
      <c r="A1503">
        <v>8929</v>
      </c>
      <c r="B1503" t="s">
        <v>534</v>
      </c>
      <c r="C1503">
        <v>18.3</v>
      </c>
      <c r="D1503">
        <f>VLOOKUP(A1503,收盤價!A:C,3,0)</f>
        <v>24.05</v>
      </c>
      <c r="E1503" s="188">
        <v>0.314207650273224</v>
      </c>
      <c r="F1503">
        <v>74.180000000000007</v>
      </c>
    </row>
    <row r="1504" spans="1:6">
      <c r="A1504">
        <v>8930</v>
      </c>
      <c r="B1504" t="s">
        <v>535</v>
      </c>
      <c r="C1504">
        <v>9.1</v>
      </c>
      <c r="D1504">
        <f>VLOOKUP(A1504,收盤價!A:C,3,0)</f>
        <v>9</v>
      </c>
      <c r="E1504" s="188">
        <v>-1.098901098901095E-2</v>
      </c>
      <c r="F1504">
        <v>10.92</v>
      </c>
    </row>
    <row r="1505" spans="1:6">
      <c r="A1505">
        <v>8931</v>
      </c>
      <c r="B1505" t="s">
        <v>1846</v>
      </c>
      <c r="C1505">
        <v>19</v>
      </c>
      <c r="D1505">
        <f>VLOOKUP(A1505,收盤價!A:C,3,0)</f>
        <v>19.5</v>
      </c>
      <c r="E1505" s="188">
        <v>2.6315789473684209E-2</v>
      </c>
      <c r="F1505">
        <v>15.59</v>
      </c>
    </row>
    <row r="1506" spans="1:6">
      <c r="A1506">
        <v>8932</v>
      </c>
      <c r="B1506" t="s">
        <v>1847</v>
      </c>
      <c r="C1506">
        <v>8.5</v>
      </c>
      <c r="D1506">
        <f>VLOOKUP(A1506,收盤價!A:C,3,0)</f>
        <v>8.9600000000000009</v>
      </c>
      <c r="E1506" s="188">
        <v>5.4117647058823631E-2</v>
      </c>
      <c r="F1506">
        <v>19.82</v>
      </c>
    </row>
    <row r="1507" spans="1:6">
      <c r="A1507">
        <v>8933</v>
      </c>
      <c r="B1507" t="s">
        <v>1848</v>
      </c>
      <c r="C1507">
        <v>11.7</v>
      </c>
      <c r="D1507">
        <f>VLOOKUP(A1507,收盤價!A:C,3,0)</f>
        <v>17.5</v>
      </c>
      <c r="E1507" s="188">
        <v>0.4957264957264958</v>
      </c>
      <c r="F1507">
        <v>90.59</v>
      </c>
    </row>
    <row r="1508" spans="1:6">
      <c r="A1508">
        <v>8935</v>
      </c>
      <c r="B1508" t="s">
        <v>536</v>
      </c>
      <c r="C1508">
        <v>6.35</v>
      </c>
      <c r="D1508">
        <f>VLOOKUP(A1508,收盤價!A:C,3,0)</f>
        <v>6.3</v>
      </c>
      <c r="E1508" s="188">
        <v>-7.8740157480314682E-3</v>
      </c>
      <c r="F1508">
        <v>11.11</v>
      </c>
    </row>
    <row r="1509" spans="1:6">
      <c r="A1509">
        <v>8936</v>
      </c>
      <c r="B1509" t="s">
        <v>1850</v>
      </c>
      <c r="C1509">
        <v>27</v>
      </c>
      <c r="D1509">
        <f>VLOOKUP(A1509,收盤價!A:C,3,0)</f>
        <v>35.049999999999997</v>
      </c>
      <c r="E1509" s="188">
        <v>0.29814814814814805</v>
      </c>
      <c r="F1509">
        <v>71.459999999999994</v>
      </c>
    </row>
    <row r="1510" spans="1:6">
      <c r="A1510">
        <v>8937</v>
      </c>
      <c r="B1510" t="s">
        <v>1851</v>
      </c>
      <c r="C1510">
        <v>10.95</v>
      </c>
      <c r="D1510">
        <f>VLOOKUP(A1510,收盤價!A:C,3,0)</f>
        <v>12.7</v>
      </c>
      <c r="E1510" s="188">
        <v>0.15981735159817353</v>
      </c>
      <c r="F1510">
        <v>43.56</v>
      </c>
    </row>
    <row r="1511" spans="1:6">
      <c r="A1511">
        <v>8938</v>
      </c>
      <c r="B1511" t="s">
        <v>537</v>
      </c>
      <c r="C1511">
        <v>17</v>
      </c>
      <c r="D1511">
        <f>VLOOKUP(A1511,收盤價!A:C,3,0)</f>
        <v>20.9</v>
      </c>
      <c r="E1511" s="188">
        <v>0.22941176470588226</v>
      </c>
      <c r="F1511">
        <v>59.34</v>
      </c>
    </row>
    <row r="1512" spans="1:6">
      <c r="A1512">
        <v>8940</v>
      </c>
      <c r="B1512" t="s">
        <v>1377</v>
      </c>
      <c r="C1512">
        <v>13</v>
      </c>
      <c r="D1512">
        <f>VLOOKUP(A1512,收盤價!A:C,3,0)</f>
        <v>16.8</v>
      </c>
      <c r="E1512" s="188">
        <v>0.29230769230769238</v>
      </c>
      <c r="F1512">
        <v>70.33</v>
      </c>
    </row>
    <row r="1513" spans="1:6">
      <c r="A1513">
        <v>8941</v>
      </c>
      <c r="B1513" t="s">
        <v>538</v>
      </c>
      <c r="C1513">
        <v>96.8</v>
      </c>
      <c r="D1513">
        <f>VLOOKUP(A1513,收盤價!A:C,3,0)</f>
        <v>92</v>
      </c>
      <c r="E1513" s="188">
        <v>-4.9586776859504106E-2</v>
      </c>
      <c r="F1513">
        <v>7.95</v>
      </c>
    </row>
    <row r="1514" spans="1:6">
      <c r="A1514">
        <v>8942</v>
      </c>
      <c r="B1514" t="s">
        <v>1852</v>
      </c>
      <c r="C1514">
        <v>72.5</v>
      </c>
      <c r="D1514">
        <f>VLOOKUP(A1514,收盤價!A:C,3,0)</f>
        <v>93.7</v>
      </c>
      <c r="E1514" s="188">
        <v>0.29241379310344834</v>
      </c>
      <c r="F1514">
        <v>70.52</v>
      </c>
    </row>
    <row r="1515" spans="1:6">
      <c r="A1515">
        <v>8996</v>
      </c>
      <c r="B1515" t="s">
        <v>1378</v>
      </c>
      <c r="C1515">
        <v>31.05</v>
      </c>
      <c r="D1515">
        <f>VLOOKUP(A1515,收盤價!A:C,3,0)</f>
        <v>42.05</v>
      </c>
      <c r="E1515" s="188">
        <v>0.35426731078904977</v>
      </c>
      <c r="F1515">
        <v>79.42</v>
      </c>
    </row>
    <row r="1516" spans="1:6">
      <c r="A1516">
        <v>9103</v>
      </c>
      <c r="B1516" t="s">
        <v>1379</v>
      </c>
      <c r="C1516">
        <v>1.75</v>
      </c>
      <c r="D1516">
        <f>VLOOKUP(A1516,收盤價!A:C,3,0)</f>
        <v>2.08</v>
      </c>
      <c r="E1516" s="188">
        <v>0.18857142857142861</v>
      </c>
      <c r="F1516">
        <v>50.32</v>
      </c>
    </row>
    <row r="1517" spans="1:6">
      <c r="A1517">
        <v>9105</v>
      </c>
      <c r="B1517" t="s">
        <v>1382</v>
      </c>
      <c r="C1517">
        <v>2.68</v>
      </c>
      <c r="D1517">
        <f>VLOOKUP(A1517,收盤價!A:C,3,0)</f>
        <v>3.38</v>
      </c>
      <c r="E1517" s="188">
        <v>0.26119402985074613</v>
      </c>
      <c r="F1517">
        <v>65.28</v>
      </c>
    </row>
    <row r="1518" spans="1:6">
      <c r="A1518">
        <v>9106</v>
      </c>
      <c r="B1518" t="s">
        <v>1383</v>
      </c>
      <c r="C1518">
        <v>3.52</v>
      </c>
      <c r="D1518" t="str">
        <f>VLOOKUP(A1518,收盤價!A:C,3,0)</f>
        <v>--</v>
      </c>
      <c r="F1518">
        <v>2.15</v>
      </c>
    </row>
    <row r="1519" spans="1:6">
      <c r="A1519">
        <v>9110</v>
      </c>
      <c r="B1519" t="s">
        <v>1387</v>
      </c>
      <c r="C1519">
        <v>3.66</v>
      </c>
      <c r="D1519">
        <f>VLOOKUP(A1519,收盤價!A:C,3,0)</f>
        <v>4.0199999999999996</v>
      </c>
      <c r="E1519" s="188">
        <v>9.8360655737704764E-2</v>
      </c>
      <c r="F1519">
        <v>29.23</v>
      </c>
    </row>
    <row r="1520" spans="1:6">
      <c r="A1520">
        <v>9136</v>
      </c>
      <c r="B1520" t="s">
        <v>1398</v>
      </c>
      <c r="C1520">
        <v>11.1</v>
      </c>
      <c r="D1520">
        <f>VLOOKUP(A1520,收盤價!A:C,3,0)</f>
        <v>17.100000000000001</v>
      </c>
      <c r="E1520" s="188">
        <v>0.54054054054054068</v>
      </c>
      <c r="F1520">
        <v>92.49</v>
      </c>
    </row>
    <row r="1521" spans="1:6">
      <c r="A1521">
        <v>9157</v>
      </c>
      <c r="B1521" t="s">
        <v>1400</v>
      </c>
      <c r="C1521">
        <v>1.27</v>
      </c>
      <c r="D1521">
        <f>VLOOKUP(A1521,收盤價!A:C,3,0)</f>
        <v>1.5</v>
      </c>
      <c r="E1521" s="188">
        <v>0.18110236220472439</v>
      </c>
      <c r="F1521">
        <v>48.11</v>
      </c>
    </row>
    <row r="1522" spans="1:6">
      <c r="A1522">
        <v>9188</v>
      </c>
      <c r="B1522" t="s">
        <v>1401</v>
      </c>
      <c r="C1522">
        <v>3.47</v>
      </c>
      <c r="D1522">
        <f>VLOOKUP(A1522,收盤價!A:C,3,0)</f>
        <v>4.0999999999999996</v>
      </c>
      <c r="E1522" s="188">
        <v>0.18155619596541769</v>
      </c>
      <c r="F1522">
        <v>48.36</v>
      </c>
    </row>
    <row r="1523" spans="1:6">
      <c r="A1523">
        <v>9802</v>
      </c>
      <c r="B1523" t="s">
        <v>1402</v>
      </c>
      <c r="C1523">
        <v>36.549999999999997</v>
      </c>
      <c r="D1523">
        <f>VLOOKUP(A1523,收盤價!A:C,3,0)</f>
        <v>49.5</v>
      </c>
      <c r="E1523" s="188">
        <v>0.35430916552667591</v>
      </c>
      <c r="F1523">
        <v>79.48</v>
      </c>
    </row>
    <row r="1524" spans="1:6">
      <c r="A1524">
        <v>9902</v>
      </c>
      <c r="B1524" t="s">
        <v>1403</v>
      </c>
      <c r="C1524">
        <v>8.73</v>
      </c>
      <c r="D1524">
        <f>VLOOKUP(A1524,收盤價!A:C,3,0)</f>
        <v>10.65</v>
      </c>
      <c r="E1524" s="188">
        <v>0.2199312714776632</v>
      </c>
      <c r="F1524">
        <v>57.7</v>
      </c>
    </row>
    <row r="1525" spans="1:6">
      <c r="A1525">
        <v>9904</v>
      </c>
      <c r="B1525" t="s">
        <v>1404</v>
      </c>
      <c r="C1525">
        <v>44.15</v>
      </c>
      <c r="D1525">
        <f>VLOOKUP(A1525,收盤價!A:C,3,0)</f>
        <v>45.8</v>
      </c>
      <c r="E1525" s="188">
        <v>3.7372593431483546E-2</v>
      </c>
      <c r="F1525">
        <v>17.23</v>
      </c>
    </row>
    <row r="1526" spans="1:6">
      <c r="A1526">
        <v>9905</v>
      </c>
      <c r="B1526" t="s">
        <v>1405</v>
      </c>
      <c r="C1526">
        <v>24.9</v>
      </c>
      <c r="D1526">
        <f>VLOOKUP(A1526,收盤價!A:C,3,0)</f>
        <v>28.9</v>
      </c>
      <c r="E1526" s="188">
        <v>0.1606425702811245</v>
      </c>
      <c r="F1526">
        <v>43.75</v>
      </c>
    </row>
    <row r="1527" spans="1:6">
      <c r="A1527">
        <v>9906</v>
      </c>
      <c r="B1527" t="s">
        <v>1406</v>
      </c>
      <c r="C1527">
        <v>22.9</v>
      </c>
      <c r="D1527">
        <f>VLOOKUP(A1527,收盤價!A:C,3,0)</f>
        <v>19.3</v>
      </c>
      <c r="E1527" s="188">
        <v>-0.15720524017467241</v>
      </c>
      <c r="F1527">
        <v>4.04</v>
      </c>
    </row>
    <row r="1528" spans="1:6">
      <c r="A1528">
        <v>9907</v>
      </c>
      <c r="B1528" t="s">
        <v>1407</v>
      </c>
      <c r="C1528">
        <v>13.6</v>
      </c>
      <c r="D1528">
        <f>VLOOKUP(A1528,收盤價!A:C,3,0)</f>
        <v>15.25</v>
      </c>
      <c r="E1528" s="188">
        <v>0.12132352941176473</v>
      </c>
      <c r="F1528">
        <v>34.409999999999997</v>
      </c>
    </row>
    <row r="1529" spans="1:6">
      <c r="A1529">
        <v>9908</v>
      </c>
      <c r="B1529" t="s">
        <v>1408</v>
      </c>
      <c r="C1529">
        <v>21.9</v>
      </c>
      <c r="D1529">
        <f>VLOOKUP(A1529,收盤價!A:C,3,0)</f>
        <v>22.05</v>
      </c>
      <c r="E1529" s="188">
        <v>6.8493150684932483E-3</v>
      </c>
      <c r="F1529">
        <v>13.26</v>
      </c>
    </row>
    <row r="1530" spans="1:6">
      <c r="A1530">
        <v>9910</v>
      </c>
      <c r="B1530" t="s">
        <v>1409</v>
      </c>
      <c r="C1530">
        <v>183</v>
      </c>
      <c r="D1530">
        <f>VLOOKUP(A1530,收盤價!A:C,3,0)</f>
        <v>178.5</v>
      </c>
      <c r="E1530" s="188">
        <v>-2.4590163934426229E-2</v>
      </c>
      <c r="F1530">
        <v>9.66</v>
      </c>
    </row>
    <row r="1531" spans="1:6">
      <c r="A1531">
        <v>9911</v>
      </c>
      <c r="B1531" t="s">
        <v>1410</v>
      </c>
      <c r="C1531">
        <v>14.9</v>
      </c>
      <c r="D1531">
        <f>VLOOKUP(A1531,收盤價!A:C,3,0)</f>
        <v>18.05</v>
      </c>
      <c r="E1531" s="188">
        <v>0.21140939597315439</v>
      </c>
      <c r="F1531">
        <v>55.81</v>
      </c>
    </row>
    <row r="1532" spans="1:6">
      <c r="A1532">
        <v>9912</v>
      </c>
      <c r="B1532" t="s">
        <v>1411</v>
      </c>
      <c r="C1532">
        <v>8.61</v>
      </c>
      <c r="D1532">
        <f>VLOOKUP(A1532,收盤價!A:C,3,0)</f>
        <v>9.59</v>
      </c>
      <c r="E1532" s="188">
        <v>0.11382113821138216</v>
      </c>
      <c r="F1532">
        <v>32.83</v>
      </c>
    </row>
    <row r="1533" spans="1:6">
      <c r="A1533">
        <v>9914</v>
      </c>
      <c r="B1533" t="s">
        <v>1412</v>
      </c>
      <c r="C1533">
        <v>151.5</v>
      </c>
      <c r="D1533">
        <f>VLOOKUP(A1533,收盤價!A:C,3,0)</f>
        <v>191.5</v>
      </c>
      <c r="E1533" s="188">
        <v>0.264026402640264</v>
      </c>
      <c r="F1533">
        <v>65.66</v>
      </c>
    </row>
    <row r="1534" spans="1:6">
      <c r="A1534">
        <v>9917</v>
      </c>
      <c r="B1534" t="s">
        <v>1413</v>
      </c>
      <c r="C1534">
        <v>84.6</v>
      </c>
      <c r="D1534">
        <f>VLOOKUP(A1534,收盤價!A:C,3,0)</f>
        <v>98.8</v>
      </c>
      <c r="E1534" s="188">
        <v>0.16784869976359343</v>
      </c>
      <c r="F1534">
        <v>44.82</v>
      </c>
    </row>
    <row r="1535" spans="1:6">
      <c r="A1535">
        <v>9918</v>
      </c>
      <c r="B1535" t="s">
        <v>1414</v>
      </c>
      <c r="C1535">
        <v>28.9</v>
      </c>
      <c r="D1535" t="str">
        <f>VLOOKUP(A1535,收盤價!A:C,3,0)</f>
        <v>--</v>
      </c>
      <c r="F1535">
        <v>2.34</v>
      </c>
    </row>
    <row r="1536" spans="1:6">
      <c r="A1536">
        <v>9919</v>
      </c>
      <c r="B1536" t="s">
        <v>1415</v>
      </c>
      <c r="C1536">
        <v>9.0500000000000007</v>
      </c>
      <c r="D1536">
        <f>VLOOKUP(A1536,收盤價!A:C,3,0)</f>
        <v>12</v>
      </c>
      <c r="E1536" s="188">
        <v>0.32596685082872917</v>
      </c>
      <c r="F1536">
        <v>75.69</v>
      </c>
    </row>
    <row r="1537" spans="1:6">
      <c r="A1537">
        <v>9921</v>
      </c>
      <c r="B1537" t="s">
        <v>1416</v>
      </c>
      <c r="C1537">
        <v>218.5</v>
      </c>
      <c r="D1537">
        <f>VLOOKUP(A1537,收盤價!A:C,3,0)</f>
        <v>231.5</v>
      </c>
      <c r="E1537" s="188">
        <v>5.9496567505720827E-2</v>
      </c>
      <c r="F1537">
        <v>20.96</v>
      </c>
    </row>
    <row r="1538" spans="1:6">
      <c r="A1538">
        <v>9924</v>
      </c>
      <c r="B1538" t="s">
        <v>1417</v>
      </c>
      <c r="C1538">
        <v>40.4</v>
      </c>
      <c r="D1538">
        <f>VLOOKUP(A1538,收盤價!A:C,3,0)</f>
        <v>47.15</v>
      </c>
      <c r="E1538" s="188">
        <v>0.16707920792079209</v>
      </c>
      <c r="F1538">
        <v>44.76</v>
      </c>
    </row>
    <row r="1539" spans="1:6">
      <c r="A1539">
        <v>9925</v>
      </c>
      <c r="B1539" t="s">
        <v>1418</v>
      </c>
      <c r="C1539">
        <v>33.9</v>
      </c>
      <c r="D1539">
        <f>VLOOKUP(A1539,收盤價!A:C,3,0)</f>
        <v>38.950000000000003</v>
      </c>
      <c r="E1539" s="188">
        <v>0.14896755162241901</v>
      </c>
      <c r="F1539">
        <v>40.85</v>
      </c>
    </row>
    <row r="1540" spans="1:6">
      <c r="A1540">
        <v>9926</v>
      </c>
      <c r="B1540" t="s">
        <v>1419</v>
      </c>
      <c r="C1540">
        <v>39.75</v>
      </c>
      <c r="D1540">
        <f>VLOOKUP(A1540,收盤價!A:C,3,0)</f>
        <v>40.299999999999997</v>
      </c>
      <c r="E1540" s="188">
        <v>1.3836477987421313E-2</v>
      </c>
      <c r="F1540">
        <v>14.08</v>
      </c>
    </row>
    <row r="1541" spans="1:6">
      <c r="A1541">
        <v>9927</v>
      </c>
      <c r="B1541" t="s">
        <v>1420</v>
      </c>
      <c r="C1541">
        <v>29.25</v>
      </c>
      <c r="D1541">
        <f>VLOOKUP(A1541,收盤價!A:C,3,0)</f>
        <v>29.6</v>
      </c>
      <c r="E1541" s="188">
        <v>1.1965811965812015E-2</v>
      </c>
      <c r="F1541">
        <v>13.89</v>
      </c>
    </row>
    <row r="1542" spans="1:6">
      <c r="A1542">
        <v>9928</v>
      </c>
      <c r="B1542" t="s">
        <v>1421</v>
      </c>
      <c r="C1542">
        <v>8.42</v>
      </c>
      <c r="D1542">
        <f>VLOOKUP(A1542,收盤價!A:C,3,0)</f>
        <v>11.5</v>
      </c>
      <c r="E1542" s="188">
        <v>0.36579572446555819</v>
      </c>
      <c r="F1542">
        <v>81.06</v>
      </c>
    </row>
    <row r="1543" spans="1:6">
      <c r="A1543">
        <v>9929</v>
      </c>
      <c r="B1543" t="s">
        <v>1422</v>
      </c>
      <c r="C1543">
        <v>12.6</v>
      </c>
      <c r="D1543">
        <f>VLOOKUP(A1543,收盤價!A:C,3,0)</f>
        <v>13.25</v>
      </c>
      <c r="E1543" s="188">
        <v>5.1587301587301619E-2</v>
      </c>
      <c r="F1543">
        <v>19.440000000000001</v>
      </c>
    </row>
    <row r="1544" spans="1:6">
      <c r="A1544">
        <v>9930</v>
      </c>
      <c r="B1544" t="s">
        <v>1423</v>
      </c>
      <c r="C1544">
        <v>54.4</v>
      </c>
      <c r="D1544">
        <f>VLOOKUP(A1544,收盤價!A:C,3,0)</f>
        <v>62.5</v>
      </c>
      <c r="E1544" s="188">
        <v>0.14889705882352944</v>
      </c>
      <c r="F1544">
        <v>40.78</v>
      </c>
    </row>
    <row r="1545" spans="1:6">
      <c r="A1545">
        <v>9931</v>
      </c>
      <c r="B1545" t="s">
        <v>1424</v>
      </c>
      <c r="C1545">
        <v>29</v>
      </c>
      <c r="D1545" t="str">
        <f>VLOOKUP(A1545,收盤價!A:C,3,0)</f>
        <v>--</v>
      </c>
      <c r="F1545">
        <v>1.89</v>
      </c>
    </row>
    <row r="1546" spans="1:6">
      <c r="A1546">
        <v>9933</v>
      </c>
      <c r="B1546" t="s">
        <v>1425</v>
      </c>
      <c r="C1546">
        <v>39.700000000000003</v>
      </c>
      <c r="D1546">
        <f>VLOOKUP(A1546,收盤價!A:C,3,0)</f>
        <v>39.700000000000003</v>
      </c>
      <c r="E1546" s="188">
        <v>0</v>
      </c>
      <c r="F1546">
        <v>12.18</v>
      </c>
    </row>
    <row r="1547" spans="1:6">
      <c r="A1547">
        <v>9934</v>
      </c>
      <c r="B1547" t="s">
        <v>1426</v>
      </c>
      <c r="C1547">
        <v>10.9</v>
      </c>
      <c r="D1547">
        <f>VLOOKUP(A1547,收盤價!A:C,3,0)</f>
        <v>14.6</v>
      </c>
      <c r="E1547" s="188">
        <v>0.33944954128440358</v>
      </c>
      <c r="F1547">
        <v>77.53</v>
      </c>
    </row>
    <row r="1548" spans="1:6">
      <c r="A1548">
        <v>9935</v>
      </c>
      <c r="B1548" t="s">
        <v>1427</v>
      </c>
      <c r="C1548">
        <v>7.65</v>
      </c>
      <c r="D1548">
        <f>VLOOKUP(A1548,收盤價!A:C,3,0)</f>
        <v>10</v>
      </c>
      <c r="E1548" s="188">
        <v>0.30718954248366009</v>
      </c>
      <c r="F1548">
        <v>72.790000000000006</v>
      </c>
    </row>
    <row r="1549" spans="1:6">
      <c r="A1549">
        <v>9937</v>
      </c>
      <c r="B1549" t="s">
        <v>1428</v>
      </c>
      <c r="C1549">
        <v>35.5</v>
      </c>
      <c r="D1549">
        <f>VLOOKUP(A1549,收盤價!A:C,3,0)</f>
        <v>36.35</v>
      </c>
      <c r="E1549" s="188">
        <v>2.3943661971831027E-2</v>
      </c>
      <c r="F1549">
        <v>15.4</v>
      </c>
    </row>
    <row r="1550" spans="1:6">
      <c r="A1550">
        <v>9938</v>
      </c>
      <c r="B1550" t="s">
        <v>1429</v>
      </c>
      <c r="C1550">
        <v>67</v>
      </c>
      <c r="D1550">
        <f>VLOOKUP(A1550,收盤價!A:C,3,0)</f>
        <v>74.099999999999994</v>
      </c>
      <c r="E1550" s="188">
        <v>0.10597014925373126</v>
      </c>
      <c r="F1550">
        <v>30.68</v>
      </c>
    </row>
    <row r="1551" spans="1:6">
      <c r="A1551">
        <v>9939</v>
      </c>
      <c r="B1551" t="s">
        <v>1430</v>
      </c>
      <c r="C1551">
        <v>44.25</v>
      </c>
      <c r="D1551">
        <f>VLOOKUP(A1551,收盤價!A:C,3,0)</f>
        <v>49.55</v>
      </c>
      <c r="E1551" s="188">
        <v>0.11977401129943496</v>
      </c>
      <c r="F1551">
        <v>33.96</v>
      </c>
    </row>
    <row r="1552" spans="1:6">
      <c r="A1552">
        <v>9940</v>
      </c>
      <c r="B1552" t="s">
        <v>1431</v>
      </c>
      <c r="C1552">
        <v>26.9</v>
      </c>
      <c r="D1552">
        <f>VLOOKUP(A1552,收盤價!A:C,3,0)</f>
        <v>28.25</v>
      </c>
      <c r="E1552" s="188">
        <v>5.0185873605948013E-2</v>
      </c>
      <c r="F1552">
        <v>19</v>
      </c>
    </row>
    <row r="1553" spans="1:6">
      <c r="A1553">
        <v>9941</v>
      </c>
      <c r="B1553" t="s">
        <v>1432</v>
      </c>
      <c r="C1553">
        <v>62.9</v>
      </c>
      <c r="D1553">
        <f>VLOOKUP(A1553,收盤價!A:C,3,0)</f>
        <v>74.2</v>
      </c>
      <c r="E1553" s="188">
        <v>0.17965023847376796</v>
      </c>
      <c r="F1553">
        <v>47.92</v>
      </c>
    </row>
    <row r="1554" spans="1:6">
      <c r="A1554">
        <v>9942</v>
      </c>
      <c r="B1554" t="s">
        <v>1433</v>
      </c>
      <c r="C1554">
        <v>67.3</v>
      </c>
      <c r="D1554">
        <f>VLOOKUP(A1554,收盤價!A:C,3,0)</f>
        <v>73.400000000000006</v>
      </c>
      <c r="E1554" s="188">
        <v>9.0638930163447387E-2</v>
      </c>
      <c r="F1554">
        <v>27.53</v>
      </c>
    </row>
    <row r="1555" spans="1:6">
      <c r="A1555">
        <v>9943</v>
      </c>
      <c r="B1555" t="s">
        <v>1434</v>
      </c>
      <c r="C1555">
        <v>53.7</v>
      </c>
      <c r="D1555">
        <f>VLOOKUP(A1555,收盤價!A:C,3,0)</f>
        <v>56.4</v>
      </c>
      <c r="E1555" s="188">
        <v>5.0279329608938467E-2</v>
      </c>
      <c r="F1555">
        <v>19.13</v>
      </c>
    </row>
    <row r="1556" spans="1:6">
      <c r="A1556">
        <v>9944</v>
      </c>
      <c r="B1556" t="s">
        <v>1435</v>
      </c>
      <c r="C1556">
        <v>30.6</v>
      </c>
      <c r="D1556">
        <f>VLOOKUP(A1556,收盤價!A:C,3,0)</f>
        <v>29.95</v>
      </c>
      <c r="E1556" s="188">
        <v>-2.1241830065359547E-2</v>
      </c>
      <c r="F1556">
        <v>10.039999999999999</v>
      </c>
    </row>
    <row r="1557" spans="1:6">
      <c r="A1557">
        <v>9945</v>
      </c>
      <c r="B1557" t="s">
        <v>1436</v>
      </c>
      <c r="C1557">
        <v>30.15</v>
      </c>
      <c r="D1557">
        <f>VLOOKUP(A1557,收盤價!A:C,3,0)</f>
        <v>40.049999999999997</v>
      </c>
      <c r="E1557" s="188">
        <v>0.32835820895522383</v>
      </c>
      <c r="F1557">
        <v>76.010000000000005</v>
      </c>
    </row>
    <row r="1558" spans="1:6">
      <c r="A1558">
        <v>9946</v>
      </c>
      <c r="B1558" t="s">
        <v>1437</v>
      </c>
      <c r="C1558">
        <v>14</v>
      </c>
      <c r="D1558">
        <f>VLOOKUP(A1558,收盤價!A:C,3,0)</f>
        <v>16.45</v>
      </c>
      <c r="E1558" s="188">
        <v>0.17499999999999996</v>
      </c>
      <c r="F1558">
        <v>46.97</v>
      </c>
    </row>
    <row r="1559" spans="1:6">
      <c r="A1559">
        <v>9949</v>
      </c>
      <c r="B1559" t="s">
        <v>539</v>
      </c>
      <c r="C1559">
        <v>14.5</v>
      </c>
      <c r="D1559">
        <f>VLOOKUP(A1559,收盤價!A:C,3,0)</f>
        <v>14.75</v>
      </c>
      <c r="E1559" s="188">
        <v>1.7241379310344827E-2</v>
      </c>
      <c r="F1559">
        <v>14.52</v>
      </c>
    </row>
    <row r="1560" spans="1:6">
      <c r="A1560">
        <v>9950</v>
      </c>
      <c r="B1560" t="s">
        <v>1854</v>
      </c>
      <c r="C1560">
        <v>19.8</v>
      </c>
      <c r="D1560">
        <f>VLOOKUP(A1560,收盤價!A:C,3,0)</f>
        <v>19.7</v>
      </c>
      <c r="E1560" s="188">
        <v>-5.0505050505051221E-3</v>
      </c>
      <c r="F1560">
        <v>11.36</v>
      </c>
    </row>
    <row r="1561" spans="1:6">
      <c r="A1561">
        <v>9951</v>
      </c>
      <c r="B1561" t="s">
        <v>1855</v>
      </c>
      <c r="C1561">
        <v>134.5</v>
      </c>
      <c r="D1561">
        <f>VLOOKUP(A1561,收盤價!A:C,3,0)</f>
        <v>169</v>
      </c>
      <c r="E1561" s="188">
        <v>0.25650557620817843</v>
      </c>
      <c r="F1561">
        <v>64.52</v>
      </c>
    </row>
    <row r="1562" spans="1:6">
      <c r="A1562">
        <v>9955</v>
      </c>
      <c r="B1562" t="s">
        <v>1438</v>
      </c>
      <c r="C1562">
        <v>12</v>
      </c>
      <c r="D1562">
        <f>VLOOKUP(A1562,收盤價!A:C,3,0)</f>
        <v>16.649999999999999</v>
      </c>
      <c r="E1562" s="188">
        <v>0.3874999999999999</v>
      </c>
      <c r="F1562">
        <v>83.33</v>
      </c>
    </row>
    <row r="1563" spans="1:6">
      <c r="A1563">
        <v>9958</v>
      </c>
      <c r="B1563" t="s">
        <v>1439</v>
      </c>
      <c r="C1563">
        <v>7.8</v>
      </c>
      <c r="D1563">
        <f>VLOOKUP(A1563,收盤價!A:C,3,0)</f>
        <v>10.050000000000001</v>
      </c>
      <c r="E1563" s="188">
        <v>0.2884615384615386</v>
      </c>
      <c r="F1563">
        <v>69.63</v>
      </c>
    </row>
    <row r="1564" spans="1:6">
      <c r="A1564">
        <v>9960</v>
      </c>
      <c r="B1564" t="s">
        <v>540</v>
      </c>
      <c r="C1564">
        <v>20</v>
      </c>
      <c r="D1564">
        <f>VLOOKUP(A1564,收盤價!A:C,3,0)</f>
        <v>19</v>
      </c>
      <c r="E1564" s="188">
        <v>-0.05</v>
      </c>
      <c r="F1564">
        <v>7.83</v>
      </c>
    </row>
    <row r="1565" spans="1:6">
      <c r="A1565">
        <v>9962</v>
      </c>
      <c r="B1565" t="s">
        <v>1856</v>
      </c>
      <c r="C1565">
        <v>7.1</v>
      </c>
      <c r="D1565">
        <f>VLOOKUP(A1565,收盤價!A:C,3,0)</f>
        <v>7.72</v>
      </c>
      <c r="E1565" s="188">
        <v>8.7323943661971853E-2</v>
      </c>
      <c r="F1565">
        <v>26.58</v>
      </c>
    </row>
    <row r="1566" spans="1:6">
      <c r="A1566">
        <v>910322</v>
      </c>
      <c r="B1566" t="s">
        <v>1380</v>
      </c>
      <c r="C1566">
        <v>28.5</v>
      </c>
      <c r="D1566">
        <f>VLOOKUP(A1566,收盤價!A:C,3,0)</f>
        <v>26.2</v>
      </c>
      <c r="E1566" s="188">
        <v>-8.0701754385964941E-2</v>
      </c>
      <c r="F1566">
        <v>6.25</v>
      </c>
    </row>
    <row r="1567" spans="1:6">
      <c r="A1567">
        <v>910482</v>
      </c>
      <c r="B1567" t="s">
        <v>1381</v>
      </c>
      <c r="C1567">
        <v>1.32</v>
      </c>
      <c r="D1567">
        <f>VLOOKUP(A1567,收盤價!A:C,3,0)</f>
        <v>1.54</v>
      </c>
      <c r="E1567" s="188">
        <v>0.16666666666666663</v>
      </c>
      <c r="F1567">
        <v>44.63</v>
      </c>
    </row>
    <row r="1568" spans="1:6">
      <c r="A1568">
        <v>910708</v>
      </c>
      <c r="B1568" t="s">
        <v>1384</v>
      </c>
      <c r="C1568">
        <v>282</v>
      </c>
      <c r="D1568" t="str">
        <f>VLOOKUP(A1568,收盤價!A:C,3,0)</f>
        <v>--</v>
      </c>
      <c r="F1568">
        <v>1.58</v>
      </c>
    </row>
    <row r="1569" spans="1:6">
      <c r="A1569">
        <v>910801</v>
      </c>
      <c r="B1569" t="s">
        <v>1385</v>
      </c>
      <c r="C1569">
        <v>3.85</v>
      </c>
      <c r="D1569">
        <f>VLOOKUP(A1569,收盤價!A:C,3,0)</f>
        <v>5.04</v>
      </c>
      <c r="E1569" s="188">
        <v>0.30909090909090908</v>
      </c>
      <c r="F1569">
        <v>73.17</v>
      </c>
    </row>
    <row r="1570" spans="1:6">
      <c r="A1570">
        <v>910861</v>
      </c>
      <c r="B1570" t="s">
        <v>1386</v>
      </c>
      <c r="C1570">
        <v>14.5</v>
      </c>
      <c r="D1570">
        <f>VLOOKUP(A1570,收盤價!A:C,3,0)</f>
        <v>17.649999999999999</v>
      </c>
      <c r="E1570" s="188">
        <v>0.21724137931034473</v>
      </c>
      <c r="F1570">
        <v>57.13</v>
      </c>
    </row>
    <row r="1571" spans="1:6">
      <c r="A1571">
        <v>911608</v>
      </c>
      <c r="B1571" t="s">
        <v>1388</v>
      </c>
      <c r="C1571">
        <v>0</v>
      </c>
      <c r="F1571">
        <v>1.33</v>
      </c>
    </row>
    <row r="1572" spans="1:6">
      <c r="A1572">
        <v>911611</v>
      </c>
      <c r="B1572" t="s">
        <v>1389</v>
      </c>
      <c r="C1572">
        <v>0.88</v>
      </c>
      <c r="D1572">
        <f>VLOOKUP(A1572,收盤價!A:C,3,0)</f>
        <v>1.19</v>
      </c>
      <c r="E1572" s="188">
        <v>0.35227272727272718</v>
      </c>
      <c r="F1572">
        <v>79.17</v>
      </c>
    </row>
    <row r="1573" spans="1:6">
      <c r="A1573">
        <v>911612</v>
      </c>
      <c r="B1573" t="s">
        <v>1390</v>
      </c>
      <c r="C1573">
        <v>0.65</v>
      </c>
      <c r="D1573">
        <f>VLOOKUP(A1573,收盤價!A:C,3,0)</f>
        <v>0.57999999999999996</v>
      </c>
      <c r="E1573" s="188">
        <v>-0.10769230769230778</v>
      </c>
      <c r="F1573">
        <v>4.99</v>
      </c>
    </row>
    <row r="1574" spans="1:6">
      <c r="A1574">
        <v>911613</v>
      </c>
      <c r="B1574" t="s">
        <v>1853</v>
      </c>
      <c r="C1574">
        <v>7.06</v>
      </c>
      <c r="D1574">
        <f>VLOOKUP(A1574,收盤價!A:C,3,0)</f>
        <v>0</v>
      </c>
      <c r="E1574" s="188">
        <v>-1</v>
      </c>
      <c r="F1574">
        <v>2.65</v>
      </c>
    </row>
    <row r="1575" spans="1:6">
      <c r="A1575">
        <v>911616</v>
      </c>
      <c r="B1575" t="s">
        <v>1391</v>
      </c>
      <c r="C1575">
        <v>1.97</v>
      </c>
      <c r="D1575">
        <f>VLOOKUP(A1575,收盤價!A:C,3,0)</f>
        <v>2.68</v>
      </c>
      <c r="E1575" s="188">
        <v>0.36040609137055846</v>
      </c>
      <c r="F1575">
        <v>80.239999999999995</v>
      </c>
    </row>
    <row r="1576" spans="1:6">
      <c r="A1576">
        <v>911619</v>
      </c>
      <c r="B1576" t="s">
        <v>1392</v>
      </c>
      <c r="C1576">
        <v>1.24</v>
      </c>
      <c r="D1576">
        <f>VLOOKUP(A1576,收盤價!A:C,3,0)</f>
        <v>1.31</v>
      </c>
      <c r="E1576" s="188">
        <v>5.645161290322586E-2</v>
      </c>
      <c r="F1576">
        <v>20.39</v>
      </c>
    </row>
    <row r="1577" spans="1:6">
      <c r="A1577">
        <v>911622</v>
      </c>
      <c r="B1577" t="s">
        <v>1393</v>
      </c>
      <c r="C1577">
        <v>0</v>
      </c>
      <c r="F1577">
        <v>1.26</v>
      </c>
    </row>
    <row r="1578" spans="1:6">
      <c r="A1578">
        <v>911626</v>
      </c>
      <c r="B1578" t="s">
        <v>1394</v>
      </c>
      <c r="C1578">
        <v>4.0999999999999996</v>
      </c>
      <c r="D1578" t="str">
        <f>VLOOKUP(A1578,收盤價!A:C,3,0)</f>
        <v>--</v>
      </c>
      <c r="F1578">
        <v>1.64</v>
      </c>
    </row>
    <row r="1579" spans="1:6">
      <c r="A1579">
        <v>911868</v>
      </c>
      <c r="B1579" t="s">
        <v>1395</v>
      </c>
      <c r="C1579">
        <v>2.33</v>
      </c>
      <c r="D1579">
        <f>VLOOKUP(A1579,收盤價!A:C,3,0)</f>
        <v>2.33</v>
      </c>
      <c r="E1579" s="188">
        <v>0</v>
      </c>
      <c r="F1579">
        <v>11.81</v>
      </c>
    </row>
    <row r="1580" spans="1:6">
      <c r="A1580">
        <v>912000</v>
      </c>
      <c r="B1580" t="s">
        <v>1396</v>
      </c>
      <c r="C1580">
        <v>3.06</v>
      </c>
      <c r="D1580">
        <f>VLOOKUP(A1580,收盤價!A:C,3,0)</f>
        <v>3.53</v>
      </c>
      <c r="E1580" s="188">
        <v>0.15359477124182999</v>
      </c>
      <c r="F1580">
        <v>41.86</v>
      </c>
    </row>
    <row r="1581" spans="1:6">
      <c r="A1581">
        <v>912398</v>
      </c>
      <c r="B1581" t="s">
        <v>1397</v>
      </c>
      <c r="C1581">
        <v>8.3000000000000007</v>
      </c>
      <c r="D1581">
        <f>VLOOKUP(A1581,收盤價!A:C,3,0)</f>
        <v>8.1</v>
      </c>
      <c r="E1581" s="188">
        <v>-2.4096385542168801E-2</v>
      </c>
      <c r="F1581">
        <v>9.7899999999999991</v>
      </c>
    </row>
    <row r="1582" spans="1:6">
      <c r="A1582">
        <v>913889</v>
      </c>
      <c r="B1582" t="s">
        <v>1399</v>
      </c>
      <c r="C1582">
        <v>3.36</v>
      </c>
      <c r="D1582">
        <f>VLOOKUP(A1582,收盤價!A:C,3,0)</f>
        <v>2.39</v>
      </c>
      <c r="E1582" s="188">
        <v>-0.28869047619047611</v>
      </c>
      <c r="F1582">
        <v>3.54</v>
      </c>
    </row>
    <row r="1583" spans="1:6">
      <c r="A1583" t="s">
        <v>262</v>
      </c>
      <c r="B1583" t="s">
        <v>585</v>
      </c>
      <c r="C1583">
        <v>20</v>
      </c>
      <c r="D1583">
        <f>VLOOKUP(A1583,收盤價!A:C,3,0)</f>
        <v>21.85</v>
      </c>
      <c r="E1583" s="188">
        <v>9.2500000000000068E-2</v>
      </c>
      <c r="F1583">
        <v>28.09</v>
      </c>
    </row>
    <row r="1584" spans="1:6">
      <c r="A1584" t="s">
        <v>263</v>
      </c>
      <c r="B1584" t="s">
        <v>752</v>
      </c>
      <c r="C1584">
        <v>37</v>
      </c>
      <c r="D1584">
        <f>VLOOKUP(A1584,收盤價!A:C,3,0)</f>
        <v>39.299999999999997</v>
      </c>
      <c r="E1584" s="188">
        <v>6.2162162162162082E-2</v>
      </c>
      <c r="F1584">
        <v>21.34</v>
      </c>
    </row>
    <row r="1585" spans="1:6">
      <c r="A1585" t="s">
        <v>1861</v>
      </c>
      <c r="B1585" t="s">
        <v>1862</v>
      </c>
      <c r="C1585">
        <v>35.6</v>
      </c>
      <c r="D1585" t="e">
        <f>VLOOKUP(A1585,收盤價!A:C,3,0)</f>
        <v>#N/A</v>
      </c>
      <c r="F1585">
        <v>1.39</v>
      </c>
    </row>
    <row r="1586" spans="1:6">
      <c r="A1586">
        <v>8934</v>
      </c>
      <c r="B1586" t="s">
        <v>1849</v>
      </c>
      <c r="C1586">
        <v>0</v>
      </c>
      <c r="F1586">
        <v>-0.06</v>
      </c>
    </row>
  </sheetData>
  <sortState ref="A2:F1584">
    <sortCondition ref="A1:A1584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CommandButton1">
          <controlPr defaultSize="0" autoLine="0" r:id="rId5">
            <anchor moveWithCells="1">
              <from>
                <xdr:col>0</xdr:col>
                <xdr:colOff>9525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180975</xdr:rowOff>
              </to>
            </anchor>
          </controlPr>
        </control>
      </mc:Choice>
      <mc:Fallback>
        <control shapeId="54273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 filterMode="1"/>
  <dimension ref="A1:V705"/>
  <sheetViews>
    <sheetView zoomScale="80" zoomScaleNormal="8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E12" sqref="E12"/>
    </sheetView>
  </sheetViews>
  <sheetFormatPr defaultRowHeight="16.5"/>
  <cols>
    <col min="1" max="1" width="13.875" style="222" bestFit="1" customWidth="1"/>
    <col min="2" max="2" width="5.5" bestFit="1" customWidth="1"/>
    <col min="3" max="3" width="15.875" customWidth="1"/>
    <col min="4" max="4" width="11.625" bestFit="1" customWidth="1"/>
    <col min="5" max="5" width="11.625" customWidth="1"/>
    <col min="6" max="7" width="9.5" bestFit="1" customWidth="1"/>
    <col min="8" max="8" width="11.625" style="282" bestFit="1" customWidth="1"/>
    <col min="9" max="9" width="11.625" customWidth="1"/>
    <col min="10" max="10" width="11.625" style="271" bestFit="1" customWidth="1"/>
    <col min="11" max="11" width="11.625" customWidth="1"/>
    <col min="14" max="14" width="4.375" bestFit="1" customWidth="1"/>
    <col min="15" max="22" width="8.625" customWidth="1"/>
  </cols>
  <sheetData>
    <row r="1" spans="1:22" s="222" customFormat="1" ht="33">
      <c r="A1" s="267" t="s">
        <v>1925</v>
      </c>
      <c r="B1" s="267" t="s">
        <v>1918</v>
      </c>
      <c r="C1" s="265" t="s">
        <v>1961</v>
      </c>
      <c r="D1" s="266" t="s">
        <v>1922</v>
      </c>
      <c r="E1" s="266" t="s">
        <v>1921</v>
      </c>
      <c r="F1" s="269" t="s">
        <v>1919</v>
      </c>
      <c r="G1" s="269" t="s">
        <v>1920</v>
      </c>
      <c r="H1" s="281" t="s">
        <v>1923</v>
      </c>
      <c r="I1" s="266"/>
      <c r="J1" s="272" t="s">
        <v>1924</v>
      </c>
      <c r="K1" s="270"/>
      <c r="L1" s="268"/>
      <c r="M1" s="268"/>
    </row>
    <row r="2" spans="1:22">
      <c r="A2" s="222">
        <v>1213</v>
      </c>
    </row>
    <row r="3" spans="1:22">
      <c r="A3" s="222">
        <v>1215</v>
      </c>
      <c r="O3" s="46"/>
      <c r="P3" s="46"/>
      <c r="Q3" s="46"/>
      <c r="R3" s="46"/>
      <c r="S3" s="46"/>
      <c r="T3" s="46"/>
      <c r="U3" s="46"/>
      <c r="V3" s="46"/>
    </row>
    <row r="4" spans="1:22">
      <c r="A4" s="222">
        <v>1231</v>
      </c>
      <c r="O4" s="46"/>
      <c r="P4" s="46"/>
      <c r="Q4" s="46"/>
      <c r="R4" s="46"/>
      <c r="S4" s="46"/>
      <c r="T4" s="46"/>
      <c r="U4" s="46"/>
      <c r="V4" s="46"/>
    </row>
    <row r="5" spans="1:22">
      <c r="A5" s="222">
        <v>1234</v>
      </c>
      <c r="O5" s="46"/>
      <c r="P5" s="46"/>
      <c r="Q5" s="46"/>
      <c r="R5" s="46"/>
      <c r="S5" s="46"/>
      <c r="T5" s="46"/>
      <c r="U5" s="46"/>
      <c r="V5" s="46"/>
    </row>
    <row r="6" spans="1:22">
      <c r="A6" s="222">
        <v>1256</v>
      </c>
      <c r="O6" s="46"/>
      <c r="P6" s="46"/>
      <c r="Q6" s="46"/>
      <c r="R6" s="46"/>
      <c r="S6" s="46"/>
      <c r="T6" s="46"/>
      <c r="U6" s="46"/>
      <c r="V6" s="46"/>
    </row>
    <row r="7" spans="1:22">
      <c r="A7" s="222">
        <v>1262</v>
      </c>
      <c r="O7" s="46"/>
      <c r="P7" s="46"/>
      <c r="Q7" s="46"/>
      <c r="R7" s="46"/>
      <c r="S7" s="46"/>
      <c r="T7" s="46"/>
      <c r="U7" s="46"/>
      <c r="V7" s="46"/>
    </row>
    <row r="8" spans="1:22">
      <c r="A8" s="222">
        <v>1303</v>
      </c>
      <c r="O8" s="46"/>
      <c r="P8" s="46"/>
      <c r="Q8" s="46"/>
      <c r="R8" s="46"/>
      <c r="S8" s="46"/>
      <c r="T8" s="46"/>
      <c r="U8" s="46"/>
      <c r="V8" s="46"/>
    </row>
    <row r="9" spans="1:22">
      <c r="A9" s="222">
        <v>1313</v>
      </c>
      <c r="O9" s="46"/>
      <c r="P9" s="46"/>
      <c r="Q9" s="46"/>
      <c r="R9" s="46"/>
      <c r="S9" s="46"/>
      <c r="T9" s="46"/>
      <c r="U9" s="46"/>
      <c r="V9" s="46"/>
    </row>
    <row r="10" spans="1:22">
      <c r="A10" s="222">
        <v>1319</v>
      </c>
      <c r="O10" s="46"/>
      <c r="P10" s="46"/>
      <c r="Q10" s="46"/>
      <c r="R10" s="46"/>
      <c r="S10" s="46"/>
      <c r="T10" s="46"/>
      <c r="U10" s="46"/>
      <c r="V10" s="46"/>
    </row>
    <row r="11" spans="1:22">
      <c r="A11" s="222">
        <v>1326</v>
      </c>
      <c r="O11" s="46"/>
      <c r="P11" s="46"/>
      <c r="Q11" s="46"/>
      <c r="R11" s="46"/>
      <c r="S11" s="46"/>
      <c r="T11" s="46"/>
      <c r="U11" s="46"/>
      <c r="V11" s="46"/>
    </row>
    <row r="12" spans="1:22">
      <c r="A12" s="222">
        <v>1434</v>
      </c>
      <c r="O12" s="46"/>
      <c r="P12" s="46"/>
      <c r="Q12" s="46"/>
      <c r="R12" s="46"/>
      <c r="S12" s="46"/>
      <c r="T12" s="46"/>
      <c r="U12" s="46"/>
      <c r="V12" s="46"/>
    </row>
    <row r="13" spans="1:22">
      <c r="A13" s="222">
        <v>1435</v>
      </c>
      <c r="O13" s="46"/>
      <c r="P13" s="46"/>
      <c r="Q13" s="46"/>
      <c r="R13" s="46"/>
      <c r="S13" s="46"/>
      <c r="T13" s="46"/>
      <c r="U13" s="46"/>
      <c r="V13" s="46"/>
    </row>
    <row r="14" spans="1:22">
      <c r="A14" s="222">
        <v>1452</v>
      </c>
      <c r="O14" s="46"/>
      <c r="P14" s="46"/>
      <c r="Q14" s="46"/>
      <c r="R14" s="46"/>
      <c r="S14" s="46"/>
      <c r="T14" s="46"/>
      <c r="U14" s="46"/>
      <c r="V14" s="46"/>
    </row>
    <row r="15" spans="1:22">
      <c r="A15" s="222">
        <v>1473</v>
      </c>
      <c r="O15" s="46"/>
      <c r="P15" s="46"/>
      <c r="Q15" s="46"/>
      <c r="R15" s="46"/>
      <c r="S15" s="46"/>
      <c r="T15" s="46"/>
      <c r="U15" s="46"/>
      <c r="V15" s="46"/>
    </row>
    <row r="16" spans="1:22">
      <c r="A16" s="222">
        <v>1477</v>
      </c>
      <c r="O16" s="46"/>
      <c r="P16" s="46"/>
      <c r="Q16" s="46"/>
      <c r="R16" s="46"/>
      <c r="S16" s="46"/>
      <c r="T16" s="46"/>
      <c r="U16" s="46"/>
      <c r="V16" s="46"/>
    </row>
    <row r="17" spans="1:22">
      <c r="A17" s="222">
        <v>1516</v>
      </c>
      <c r="O17" s="46"/>
      <c r="P17" s="46"/>
      <c r="Q17" s="46"/>
      <c r="R17" s="46"/>
      <c r="S17" s="46"/>
      <c r="T17" s="46"/>
      <c r="U17" s="46"/>
      <c r="V17" s="46"/>
    </row>
    <row r="18" spans="1:22">
      <c r="A18" s="222">
        <v>1537</v>
      </c>
      <c r="O18" s="46"/>
      <c r="P18" s="46"/>
      <c r="Q18" s="46"/>
      <c r="R18" s="46"/>
      <c r="S18" s="46"/>
      <c r="T18" s="46"/>
      <c r="U18" s="46"/>
      <c r="V18" s="46"/>
    </row>
    <row r="19" spans="1:22">
      <c r="A19" s="222">
        <v>1560</v>
      </c>
      <c r="O19" s="46"/>
      <c r="P19" s="46"/>
      <c r="Q19" s="46"/>
      <c r="R19" s="46"/>
      <c r="S19" s="46"/>
      <c r="T19" s="46"/>
      <c r="U19" s="46"/>
      <c r="V19" s="46"/>
    </row>
    <row r="20" spans="1:22">
      <c r="A20" s="222">
        <v>1566</v>
      </c>
    </row>
    <row r="21" spans="1:22">
      <c r="A21" s="222">
        <v>1580</v>
      </c>
      <c r="O21" s="46"/>
      <c r="P21" s="46"/>
      <c r="Q21" s="46"/>
      <c r="R21" s="46"/>
      <c r="S21" s="46"/>
      <c r="T21" s="46"/>
      <c r="U21" s="46"/>
      <c r="V21" s="46"/>
    </row>
    <row r="22" spans="1:22">
      <c r="A22" s="222">
        <v>1589</v>
      </c>
      <c r="O22" s="46"/>
      <c r="P22" s="46"/>
      <c r="Q22" s="46"/>
      <c r="R22" s="46"/>
      <c r="S22" s="46"/>
      <c r="T22" s="46"/>
      <c r="U22" s="46"/>
      <c r="V22" s="46"/>
    </row>
    <row r="23" spans="1:22">
      <c r="A23" s="222">
        <v>1599</v>
      </c>
      <c r="O23" s="46"/>
      <c r="P23" s="46"/>
      <c r="Q23" s="46"/>
      <c r="R23" s="46"/>
      <c r="S23" s="46"/>
      <c r="T23" s="46"/>
      <c r="U23" s="46"/>
      <c r="V23" s="46"/>
    </row>
    <row r="24" spans="1:22">
      <c r="A24" s="222">
        <v>1605</v>
      </c>
      <c r="O24" s="46"/>
      <c r="P24" s="46"/>
      <c r="Q24" s="46"/>
      <c r="R24" s="46"/>
      <c r="S24" s="46"/>
      <c r="T24" s="46"/>
      <c r="U24" s="46"/>
      <c r="V24" s="46"/>
    </row>
    <row r="25" spans="1:22">
      <c r="A25" s="222">
        <v>1612</v>
      </c>
      <c r="O25" s="46"/>
      <c r="P25" s="46"/>
      <c r="Q25" s="46"/>
      <c r="R25" s="46"/>
      <c r="S25" s="46"/>
      <c r="T25" s="46"/>
      <c r="U25" s="46"/>
      <c r="V25" s="46"/>
    </row>
    <row r="26" spans="1:22">
      <c r="A26" s="222">
        <v>1626</v>
      </c>
      <c r="O26" s="46"/>
      <c r="P26" s="46"/>
      <c r="Q26" s="46"/>
      <c r="R26" s="46"/>
      <c r="S26" s="46"/>
      <c r="T26" s="46"/>
      <c r="U26" s="46"/>
      <c r="V26" s="46"/>
    </row>
    <row r="27" spans="1:22">
      <c r="A27" s="222">
        <v>1701</v>
      </c>
      <c r="O27" s="46"/>
      <c r="P27" s="46"/>
      <c r="Q27" s="46"/>
      <c r="R27" s="46"/>
      <c r="S27" s="46"/>
      <c r="T27" s="46"/>
      <c r="U27" s="46"/>
      <c r="V27" s="46"/>
    </row>
    <row r="28" spans="1:22">
      <c r="A28" s="222">
        <v>1707</v>
      </c>
      <c r="O28" s="46"/>
      <c r="P28" s="46"/>
      <c r="Q28" s="46"/>
      <c r="R28" s="46"/>
      <c r="S28" s="46"/>
      <c r="T28" s="46"/>
      <c r="U28" s="46"/>
      <c r="V28" s="46"/>
    </row>
    <row r="29" spans="1:22">
      <c r="A29" s="222">
        <v>1724</v>
      </c>
      <c r="O29" s="46"/>
      <c r="P29" s="46"/>
      <c r="Q29" s="46"/>
      <c r="R29" s="46"/>
      <c r="S29" s="46"/>
      <c r="T29" s="46"/>
      <c r="U29" s="46"/>
      <c r="V29" s="46"/>
    </row>
    <row r="30" spans="1:22">
      <c r="A30" s="222">
        <v>1730</v>
      </c>
      <c r="O30" s="46"/>
      <c r="P30" s="46"/>
      <c r="Q30" s="46"/>
      <c r="R30" s="46"/>
      <c r="S30" s="46"/>
      <c r="T30" s="46"/>
      <c r="U30" s="46"/>
      <c r="V30" s="46"/>
    </row>
    <row r="31" spans="1:22">
      <c r="A31" s="222">
        <v>1731</v>
      </c>
      <c r="O31" s="46"/>
      <c r="P31" s="46"/>
      <c r="Q31" s="46"/>
      <c r="R31" s="46"/>
      <c r="S31" s="46"/>
      <c r="T31" s="46"/>
      <c r="U31" s="46"/>
      <c r="V31" s="46"/>
    </row>
    <row r="32" spans="1:22">
      <c r="A32" s="222">
        <v>1733</v>
      </c>
      <c r="O32" s="46"/>
      <c r="P32" s="46"/>
      <c r="Q32" s="46"/>
      <c r="R32" s="46"/>
      <c r="S32" s="46"/>
      <c r="T32" s="46"/>
      <c r="U32" s="46"/>
      <c r="V32" s="46"/>
    </row>
    <row r="33" spans="1:22">
      <c r="A33" s="222">
        <v>1736</v>
      </c>
      <c r="O33" s="46"/>
      <c r="P33" s="46"/>
      <c r="Q33" s="46"/>
      <c r="R33" s="46"/>
      <c r="S33" s="46"/>
      <c r="T33" s="46"/>
      <c r="U33" s="46"/>
      <c r="V33" s="46"/>
    </row>
    <row r="34" spans="1:22">
      <c r="A34" s="222">
        <v>1809</v>
      </c>
      <c r="O34" s="46"/>
      <c r="P34" s="46"/>
      <c r="Q34" s="46"/>
      <c r="R34" s="46"/>
      <c r="S34" s="46"/>
      <c r="T34" s="46"/>
      <c r="U34" s="46"/>
      <c r="V34" s="46"/>
    </row>
    <row r="35" spans="1:22">
      <c r="A35" s="222">
        <v>1906</v>
      </c>
      <c r="O35" s="46"/>
      <c r="P35" s="46"/>
      <c r="Q35" s="46"/>
      <c r="R35" s="46"/>
      <c r="S35" s="46"/>
      <c r="T35" s="46"/>
      <c r="U35" s="46"/>
      <c r="V35" s="46"/>
    </row>
    <row r="36" spans="1:22">
      <c r="A36" s="222">
        <v>2002</v>
      </c>
      <c r="O36" s="46"/>
      <c r="P36" s="46"/>
      <c r="Q36" s="46"/>
      <c r="R36" s="46"/>
      <c r="S36" s="46"/>
      <c r="T36" s="46"/>
      <c r="U36" s="46"/>
      <c r="V36" s="46"/>
    </row>
    <row r="37" spans="1:22">
      <c r="A37" s="222">
        <v>2013</v>
      </c>
      <c r="O37" s="46"/>
      <c r="P37" s="46"/>
      <c r="Q37" s="46"/>
      <c r="R37" s="46"/>
      <c r="S37" s="46"/>
      <c r="T37" s="46"/>
      <c r="U37" s="46"/>
      <c r="V37" s="46"/>
    </row>
    <row r="38" spans="1:22">
      <c r="A38" s="222">
        <v>2015</v>
      </c>
      <c r="N38" s="271"/>
      <c r="O38" s="46"/>
      <c r="P38" s="46"/>
      <c r="Q38" s="46"/>
      <c r="R38" s="46"/>
      <c r="S38" s="46"/>
      <c r="T38" s="46"/>
      <c r="U38" s="46"/>
      <c r="V38" s="46"/>
    </row>
    <row r="39" spans="1:22">
      <c r="A39" s="222">
        <v>2032</v>
      </c>
      <c r="O39" s="46"/>
      <c r="P39" s="46"/>
      <c r="Q39" s="46"/>
      <c r="R39" s="46"/>
      <c r="S39" s="46"/>
      <c r="T39" s="46"/>
      <c r="U39" s="46"/>
      <c r="V39" s="46"/>
    </row>
    <row r="40" spans="1:22">
      <c r="A40" s="222">
        <v>2034</v>
      </c>
      <c r="O40" s="46"/>
      <c r="P40" s="46"/>
      <c r="Q40" s="46"/>
      <c r="R40" s="46"/>
      <c r="S40" s="46"/>
      <c r="T40" s="46"/>
      <c r="U40" s="46"/>
      <c r="V40" s="46"/>
    </row>
    <row r="41" spans="1:22">
      <c r="A41" s="222">
        <v>2035</v>
      </c>
      <c r="O41" s="46"/>
      <c r="P41" s="46"/>
      <c r="Q41" s="46"/>
      <c r="R41" s="46"/>
      <c r="S41" s="46"/>
      <c r="T41" s="46"/>
      <c r="U41" s="46"/>
      <c r="V41" s="46"/>
    </row>
    <row r="42" spans="1:22">
      <c r="A42" s="222">
        <v>2059</v>
      </c>
      <c r="O42" s="46"/>
      <c r="P42" s="46"/>
      <c r="Q42" s="46"/>
      <c r="R42" s="46"/>
      <c r="S42" s="46"/>
      <c r="T42" s="46"/>
      <c r="U42" s="46"/>
      <c r="V42" s="46"/>
    </row>
    <row r="43" spans="1:22">
      <c r="A43" s="222">
        <v>2061</v>
      </c>
      <c r="O43" s="46"/>
      <c r="P43" s="46"/>
      <c r="Q43" s="46"/>
      <c r="R43" s="46"/>
      <c r="S43" s="46"/>
      <c r="T43" s="46"/>
      <c r="U43" s="46"/>
      <c r="V43" s="46"/>
    </row>
    <row r="44" spans="1:22">
      <c r="A44" s="222">
        <v>2062</v>
      </c>
      <c r="O44" s="46"/>
      <c r="P44" s="46"/>
      <c r="Q44" s="46"/>
      <c r="R44" s="46"/>
      <c r="S44" s="46"/>
      <c r="T44" s="46"/>
      <c r="U44" s="46"/>
      <c r="V44" s="46"/>
    </row>
    <row r="45" spans="1:22">
      <c r="A45" s="222">
        <v>2228</v>
      </c>
      <c r="O45" s="46"/>
      <c r="P45" s="46"/>
      <c r="Q45" s="46"/>
      <c r="R45" s="46"/>
      <c r="S45" s="46"/>
      <c r="T45" s="46"/>
      <c r="U45" s="46"/>
      <c r="V45" s="46"/>
    </row>
    <row r="46" spans="1:22">
      <c r="A46" s="222">
        <v>2231</v>
      </c>
      <c r="O46" s="46"/>
      <c r="P46" s="46"/>
      <c r="Q46" s="46"/>
      <c r="R46" s="46"/>
      <c r="S46" s="46"/>
      <c r="T46" s="46"/>
      <c r="U46" s="46"/>
      <c r="V46" s="46"/>
    </row>
    <row r="47" spans="1:22">
      <c r="A47" s="222">
        <v>2236</v>
      </c>
      <c r="O47" s="46"/>
      <c r="P47" s="46"/>
      <c r="Q47" s="46"/>
      <c r="R47" s="46"/>
      <c r="S47" s="46"/>
      <c r="T47" s="46"/>
      <c r="U47" s="46"/>
      <c r="V47" s="46"/>
    </row>
    <row r="48" spans="1:22">
      <c r="A48" s="222">
        <v>2308</v>
      </c>
      <c r="O48" s="46"/>
      <c r="P48" s="46"/>
      <c r="Q48" s="46"/>
      <c r="R48" s="46"/>
      <c r="S48" s="46"/>
      <c r="T48" s="46"/>
      <c r="U48" s="46"/>
      <c r="V48" s="46"/>
    </row>
    <row r="49" spans="1:22">
      <c r="A49" s="222">
        <v>2314</v>
      </c>
      <c r="O49" s="46"/>
      <c r="P49" s="46"/>
      <c r="Q49" s="46"/>
      <c r="R49" s="46"/>
      <c r="S49" s="46"/>
      <c r="T49" s="46"/>
      <c r="U49" s="46"/>
      <c r="V49" s="46"/>
    </row>
    <row r="50" spans="1:22">
      <c r="A50" s="222">
        <v>2325</v>
      </c>
      <c r="O50" s="46"/>
      <c r="P50" s="46"/>
      <c r="Q50" s="46"/>
      <c r="R50" s="46"/>
      <c r="S50" s="46"/>
      <c r="T50" s="46"/>
      <c r="U50" s="46"/>
      <c r="V50" s="46"/>
    </row>
    <row r="51" spans="1:22">
      <c r="A51" s="222">
        <v>2337</v>
      </c>
    </row>
    <row r="52" spans="1:22">
      <c r="A52" s="222">
        <v>2344</v>
      </c>
      <c r="O52" s="46"/>
      <c r="P52" s="46"/>
      <c r="Q52" s="46"/>
      <c r="R52" s="46"/>
      <c r="S52" s="46"/>
      <c r="T52" s="46"/>
      <c r="U52" s="46"/>
      <c r="V52" s="46"/>
    </row>
    <row r="53" spans="1:22">
      <c r="A53" s="222">
        <v>2345</v>
      </c>
      <c r="O53" s="46"/>
      <c r="P53" s="46"/>
      <c r="Q53" s="46"/>
      <c r="R53" s="46"/>
      <c r="S53" s="46"/>
      <c r="T53" s="46"/>
      <c r="U53" s="46"/>
      <c r="V53" s="46"/>
    </row>
    <row r="54" spans="1:22">
      <c r="A54" s="222">
        <v>2353</v>
      </c>
      <c r="O54" s="46"/>
      <c r="P54" s="46"/>
      <c r="Q54" s="46"/>
      <c r="R54" s="46"/>
      <c r="S54" s="46"/>
      <c r="T54" s="46"/>
      <c r="U54" s="46"/>
      <c r="V54" s="46"/>
    </row>
    <row r="55" spans="1:22">
      <c r="A55" s="222">
        <v>2357</v>
      </c>
      <c r="O55" s="46"/>
      <c r="P55" s="46"/>
      <c r="Q55" s="46"/>
      <c r="R55" s="46"/>
      <c r="S55" s="46"/>
      <c r="T55" s="46"/>
      <c r="U55" s="46"/>
      <c r="V55" s="46"/>
    </row>
    <row r="56" spans="1:22">
      <c r="A56" s="222">
        <v>2365</v>
      </c>
    </row>
    <row r="57" spans="1:22">
      <c r="A57" s="222">
        <v>2374</v>
      </c>
      <c r="O57" s="46"/>
      <c r="P57" s="46"/>
      <c r="Q57" s="46"/>
      <c r="R57" s="46"/>
      <c r="S57" s="46"/>
      <c r="T57" s="46"/>
      <c r="U57" s="46"/>
      <c r="V57" s="46"/>
    </row>
    <row r="58" spans="1:22">
      <c r="A58" s="222">
        <v>2379</v>
      </c>
      <c r="O58" s="46"/>
      <c r="P58" s="46"/>
      <c r="Q58" s="46"/>
      <c r="R58" s="46"/>
      <c r="S58" s="46"/>
      <c r="T58" s="46"/>
      <c r="U58" s="46"/>
      <c r="V58" s="46"/>
    </row>
    <row r="59" spans="1:22">
      <c r="A59" s="222">
        <v>2380</v>
      </c>
    </row>
    <row r="60" spans="1:22">
      <c r="A60" s="222">
        <v>2382</v>
      </c>
      <c r="O60" s="46"/>
      <c r="P60" s="46"/>
      <c r="Q60" s="46"/>
      <c r="R60" s="46"/>
      <c r="S60" s="46"/>
      <c r="T60" s="46"/>
      <c r="U60" s="46"/>
      <c r="V60" s="46"/>
    </row>
    <row r="61" spans="1:22">
      <c r="A61" s="222">
        <v>2383</v>
      </c>
      <c r="O61" s="46"/>
      <c r="P61" s="46"/>
      <c r="Q61" s="46"/>
      <c r="R61" s="46"/>
      <c r="S61" s="46"/>
      <c r="T61" s="46"/>
      <c r="U61" s="46"/>
      <c r="V61" s="46"/>
    </row>
    <row r="62" spans="1:22">
      <c r="A62" s="222">
        <v>2395</v>
      </c>
      <c r="O62" s="46"/>
      <c r="P62" s="46"/>
      <c r="Q62" s="46"/>
      <c r="R62" s="46"/>
      <c r="S62" s="46"/>
      <c r="T62" s="46"/>
      <c r="U62" s="46"/>
      <c r="V62" s="46"/>
    </row>
    <row r="63" spans="1:22">
      <c r="A63" s="222">
        <v>2405</v>
      </c>
    </row>
    <row r="64" spans="1:22">
      <c r="A64" s="222">
        <v>2412</v>
      </c>
    </row>
    <row r="65" spans="1:1">
      <c r="A65" s="222">
        <v>2413</v>
      </c>
    </row>
    <row r="66" spans="1:1">
      <c r="A66" s="222">
        <v>2415</v>
      </c>
    </row>
    <row r="67" spans="1:1">
      <c r="A67" s="222">
        <v>2428</v>
      </c>
    </row>
    <row r="68" spans="1:1">
      <c r="A68" s="222">
        <v>2439</v>
      </c>
    </row>
    <row r="69" spans="1:1">
      <c r="A69" s="222">
        <v>2441</v>
      </c>
    </row>
    <row r="70" spans="1:1">
      <c r="A70" s="222">
        <v>2442</v>
      </c>
    </row>
    <row r="71" spans="1:1">
      <c r="A71" s="222">
        <v>2443</v>
      </c>
    </row>
    <row r="72" spans="1:1">
      <c r="A72" s="222">
        <v>2450</v>
      </c>
    </row>
    <row r="73" spans="1:1">
      <c r="A73" s="222">
        <v>2451</v>
      </c>
    </row>
    <row r="74" spans="1:1">
      <c r="A74" s="222">
        <v>2455</v>
      </c>
    </row>
    <row r="75" spans="1:1">
      <c r="A75" s="222">
        <v>2458</v>
      </c>
    </row>
    <row r="76" spans="1:1">
      <c r="A76" s="222">
        <v>2471</v>
      </c>
    </row>
    <row r="77" spans="1:1">
      <c r="A77" s="222">
        <v>2472</v>
      </c>
    </row>
    <row r="78" spans="1:1">
      <c r="A78" s="222">
        <v>2480</v>
      </c>
    </row>
    <row r="79" spans="1:1">
      <c r="A79" s="222">
        <v>2488</v>
      </c>
    </row>
    <row r="80" spans="1:1">
      <c r="A80" s="222">
        <v>2495</v>
      </c>
    </row>
    <row r="81" spans="1:1">
      <c r="A81" s="222">
        <v>2497</v>
      </c>
    </row>
    <row r="82" spans="1:1">
      <c r="A82" s="222">
        <v>2498</v>
      </c>
    </row>
    <row r="83" spans="1:1">
      <c r="A83" s="222">
        <v>2506</v>
      </c>
    </row>
    <row r="84" spans="1:1">
      <c r="A84" s="222">
        <v>2511</v>
      </c>
    </row>
    <row r="85" spans="1:1">
      <c r="A85" s="222">
        <v>2537</v>
      </c>
    </row>
    <row r="86" spans="1:1">
      <c r="A86" s="222">
        <v>2542</v>
      </c>
    </row>
    <row r="87" spans="1:1">
      <c r="A87" s="222">
        <v>2548</v>
      </c>
    </row>
    <row r="88" spans="1:1">
      <c r="A88" s="222">
        <v>2597</v>
      </c>
    </row>
    <row r="89" spans="1:1">
      <c r="A89" s="222">
        <v>2634</v>
      </c>
    </row>
    <row r="90" spans="1:1">
      <c r="A90" s="222">
        <v>2637</v>
      </c>
    </row>
    <row r="91" spans="1:1">
      <c r="A91" s="222">
        <v>2719</v>
      </c>
    </row>
    <row r="92" spans="1:1">
      <c r="A92" s="222">
        <v>2726</v>
      </c>
    </row>
    <row r="93" spans="1:1">
      <c r="A93" s="222">
        <v>2732</v>
      </c>
    </row>
    <row r="94" spans="1:1">
      <c r="A94" s="222">
        <v>2908</v>
      </c>
    </row>
    <row r="95" spans="1:1">
      <c r="A95" s="222">
        <v>2913</v>
      </c>
    </row>
    <row r="96" spans="1:1">
      <c r="A96" s="222">
        <v>2923</v>
      </c>
    </row>
    <row r="97" spans="1:1">
      <c r="A97" s="222">
        <v>3005</v>
      </c>
    </row>
    <row r="98" spans="1:1">
      <c r="A98" s="222">
        <v>3008</v>
      </c>
    </row>
    <row r="99" spans="1:1">
      <c r="A99" s="222">
        <v>3011</v>
      </c>
    </row>
    <row r="100" spans="1:1">
      <c r="A100" s="222">
        <v>3014</v>
      </c>
    </row>
    <row r="101" spans="1:1">
      <c r="A101" s="222">
        <v>3015</v>
      </c>
    </row>
    <row r="102" spans="1:1">
      <c r="A102" s="222">
        <v>3029</v>
      </c>
    </row>
    <row r="103" spans="1:1">
      <c r="A103" s="222">
        <v>3030</v>
      </c>
    </row>
    <row r="104" spans="1:1">
      <c r="A104" s="222">
        <v>3034</v>
      </c>
    </row>
    <row r="105" spans="1:1">
      <c r="A105" s="222">
        <v>3035</v>
      </c>
    </row>
    <row r="106" spans="1:1">
      <c r="A106" s="222">
        <v>3042</v>
      </c>
    </row>
    <row r="107" spans="1:1">
      <c r="A107" s="222">
        <v>3044</v>
      </c>
    </row>
    <row r="108" spans="1:1">
      <c r="A108" s="222">
        <v>3045</v>
      </c>
    </row>
    <row r="109" spans="1:1">
      <c r="A109" s="222">
        <v>3047</v>
      </c>
    </row>
    <row r="110" spans="1:1">
      <c r="A110" s="222">
        <v>3060</v>
      </c>
    </row>
    <row r="111" spans="1:1">
      <c r="A111" s="222">
        <v>3071</v>
      </c>
    </row>
    <row r="112" spans="1:1">
      <c r="A112" s="222">
        <v>3073</v>
      </c>
    </row>
    <row r="113" spans="1:1">
      <c r="A113" s="222">
        <v>3081</v>
      </c>
    </row>
    <row r="114" spans="1:1">
      <c r="A114" s="222">
        <v>3083</v>
      </c>
    </row>
    <row r="115" spans="1:1">
      <c r="A115" s="222">
        <v>3095</v>
      </c>
    </row>
    <row r="116" spans="1:1">
      <c r="A116" s="222">
        <v>3189</v>
      </c>
    </row>
    <row r="117" spans="1:1">
      <c r="A117" s="222">
        <v>3231</v>
      </c>
    </row>
    <row r="118" spans="1:1">
      <c r="A118" s="222">
        <v>3232</v>
      </c>
    </row>
    <row r="119" spans="1:1">
      <c r="A119" s="222">
        <v>3266</v>
      </c>
    </row>
    <row r="120" spans="1:1">
      <c r="A120" s="222">
        <v>3276</v>
      </c>
    </row>
    <row r="121" spans="1:1">
      <c r="A121" s="222">
        <v>3291</v>
      </c>
    </row>
    <row r="122" spans="1:1">
      <c r="A122" s="222">
        <v>3297</v>
      </c>
    </row>
    <row r="123" spans="1:1">
      <c r="A123" s="222">
        <v>3306</v>
      </c>
    </row>
    <row r="124" spans="1:1">
      <c r="A124" s="222">
        <v>3311</v>
      </c>
    </row>
    <row r="125" spans="1:1">
      <c r="A125" s="222">
        <v>3339</v>
      </c>
    </row>
    <row r="126" spans="1:1">
      <c r="A126" s="222">
        <v>3356</v>
      </c>
    </row>
    <row r="127" spans="1:1">
      <c r="A127" s="222">
        <v>3360</v>
      </c>
    </row>
    <row r="128" spans="1:1">
      <c r="A128" s="222">
        <v>3376</v>
      </c>
    </row>
    <row r="129" spans="1:1">
      <c r="A129" s="222">
        <v>3380</v>
      </c>
    </row>
    <row r="130" spans="1:1">
      <c r="A130" s="222">
        <v>3416</v>
      </c>
    </row>
    <row r="131" spans="1:1">
      <c r="A131" s="222">
        <v>3419</v>
      </c>
    </row>
    <row r="132" spans="1:1">
      <c r="A132" s="222">
        <v>3441</v>
      </c>
    </row>
    <row r="133" spans="1:1">
      <c r="A133" s="222">
        <v>3444</v>
      </c>
    </row>
    <row r="134" spans="1:1">
      <c r="A134" s="222">
        <v>3455</v>
      </c>
    </row>
    <row r="135" spans="1:1">
      <c r="A135" s="222">
        <v>3483</v>
      </c>
    </row>
    <row r="136" spans="1:1">
      <c r="A136" s="222">
        <v>3501</v>
      </c>
    </row>
    <row r="137" spans="1:1">
      <c r="A137" s="222">
        <v>3529</v>
      </c>
    </row>
    <row r="138" spans="1:1">
      <c r="A138" s="222">
        <v>3531</v>
      </c>
    </row>
    <row r="139" spans="1:1">
      <c r="A139" s="222">
        <v>3532</v>
      </c>
    </row>
    <row r="140" spans="1:1">
      <c r="A140" s="222">
        <v>3546</v>
      </c>
    </row>
    <row r="141" spans="1:1">
      <c r="A141" s="222">
        <v>3558</v>
      </c>
    </row>
    <row r="142" spans="1:1">
      <c r="A142" s="222">
        <v>3559</v>
      </c>
    </row>
    <row r="143" spans="1:1">
      <c r="A143" s="222">
        <v>3563</v>
      </c>
    </row>
    <row r="144" spans="1:1">
      <c r="A144" s="222">
        <v>3567</v>
      </c>
    </row>
    <row r="145" spans="1:1">
      <c r="A145" s="222">
        <v>3581</v>
      </c>
    </row>
    <row r="146" spans="1:1">
      <c r="A146" s="222">
        <v>3596</v>
      </c>
    </row>
    <row r="147" spans="1:1">
      <c r="A147" s="222">
        <v>3609</v>
      </c>
    </row>
    <row r="148" spans="1:1">
      <c r="A148" s="222">
        <v>3615</v>
      </c>
    </row>
    <row r="149" spans="1:1">
      <c r="A149" s="222">
        <v>3632</v>
      </c>
    </row>
    <row r="150" spans="1:1">
      <c r="A150" s="222">
        <v>3645</v>
      </c>
    </row>
    <row r="151" spans="1:1">
      <c r="A151" s="222">
        <v>3658</v>
      </c>
    </row>
    <row r="152" spans="1:1">
      <c r="A152" s="222">
        <v>3672</v>
      </c>
    </row>
    <row r="153" spans="1:1">
      <c r="A153" s="222">
        <v>3682</v>
      </c>
    </row>
    <row r="154" spans="1:1">
      <c r="A154" s="222">
        <v>3691</v>
      </c>
    </row>
    <row r="155" spans="1:1">
      <c r="A155" s="222">
        <v>3706</v>
      </c>
    </row>
    <row r="156" spans="1:1">
      <c r="A156" s="222">
        <v>4102</v>
      </c>
    </row>
    <row r="157" spans="1:1">
      <c r="A157" s="222">
        <v>4152</v>
      </c>
    </row>
    <row r="158" spans="1:1">
      <c r="A158" s="222">
        <v>4173</v>
      </c>
    </row>
    <row r="159" spans="1:1">
      <c r="A159" s="222">
        <v>4175</v>
      </c>
    </row>
    <row r="160" spans="1:1">
      <c r="A160" s="222">
        <v>4190</v>
      </c>
    </row>
    <row r="161" spans="1:1">
      <c r="A161" s="222">
        <v>4401</v>
      </c>
    </row>
    <row r="162" spans="1:1">
      <c r="A162" s="222">
        <v>4426</v>
      </c>
    </row>
    <row r="163" spans="1:1">
      <c r="A163" s="222">
        <v>4533</v>
      </c>
    </row>
    <row r="164" spans="1:1">
      <c r="A164" s="222">
        <v>4550</v>
      </c>
    </row>
    <row r="165" spans="1:1">
      <c r="A165" s="222">
        <v>4702</v>
      </c>
    </row>
    <row r="166" spans="1:1">
      <c r="A166" s="222">
        <v>4711</v>
      </c>
    </row>
    <row r="167" spans="1:1">
      <c r="A167" s="222">
        <v>4712</v>
      </c>
    </row>
    <row r="168" spans="1:1">
      <c r="A168" s="222">
        <v>4726</v>
      </c>
    </row>
    <row r="169" spans="1:1">
      <c r="A169" s="222">
        <v>4733</v>
      </c>
    </row>
    <row r="170" spans="1:1">
      <c r="A170" s="222">
        <v>4737</v>
      </c>
    </row>
    <row r="171" spans="1:1">
      <c r="A171" s="222">
        <v>4912</v>
      </c>
    </row>
    <row r="172" spans="1:1">
      <c r="A172" s="222">
        <v>4916</v>
      </c>
    </row>
    <row r="173" spans="1:1">
      <c r="A173" s="222">
        <v>4919</v>
      </c>
    </row>
    <row r="174" spans="1:1">
      <c r="A174" s="222">
        <v>4933</v>
      </c>
    </row>
    <row r="175" spans="1:1">
      <c r="A175" s="222">
        <v>4935</v>
      </c>
    </row>
    <row r="176" spans="1:1">
      <c r="A176" s="222">
        <v>4971</v>
      </c>
    </row>
    <row r="177" spans="1:1">
      <c r="A177" s="222">
        <v>4994</v>
      </c>
    </row>
    <row r="178" spans="1:1">
      <c r="A178" s="222">
        <v>4995</v>
      </c>
    </row>
    <row r="179" spans="1:1">
      <c r="A179" s="222">
        <v>5007</v>
      </c>
    </row>
    <row r="180" spans="1:1">
      <c r="A180" s="222">
        <v>5011</v>
      </c>
    </row>
    <row r="181" spans="1:1">
      <c r="A181" s="222">
        <v>5016</v>
      </c>
    </row>
    <row r="182" spans="1:1">
      <c r="A182" s="222">
        <v>5203</v>
      </c>
    </row>
    <row r="183" spans="1:1">
      <c r="A183" s="222">
        <v>5209</v>
      </c>
    </row>
    <row r="184" spans="1:1">
      <c r="A184" s="222">
        <v>5225</v>
      </c>
    </row>
    <row r="185" spans="1:1">
      <c r="A185" s="222">
        <v>5234</v>
      </c>
    </row>
    <row r="186" spans="1:1">
      <c r="A186" s="222">
        <v>5264</v>
      </c>
    </row>
    <row r="187" spans="1:1">
      <c r="A187" s="222">
        <v>5274</v>
      </c>
    </row>
    <row r="188" spans="1:1">
      <c r="A188" s="222">
        <v>5276</v>
      </c>
    </row>
    <row r="189" spans="1:1">
      <c r="A189" s="222">
        <v>5288</v>
      </c>
    </row>
    <row r="190" spans="1:1">
      <c r="A190" s="222">
        <v>5289</v>
      </c>
    </row>
    <row r="191" spans="1:1">
      <c r="A191" s="222">
        <v>5291</v>
      </c>
    </row>
    <row r="192" spans="1:1">
      <c r="A192" s="222">
        <v>5310</v>
      </c>
    </row>
    <row r="193" spans="1:1">
      <c r="A193" s="222">
        <v>5314</v>
      </c>
    </row>
    <row r="194" spans="1:1">
      <c r="A194" s="222">
        <v>5317</v>
      </c>
    </row>
    <row r="195" spans="1:1">
      <c r="A195" s="222">
        <v>5349</v>
      </c>
    </row>
    <row r="196" spans="1:1">
      <c r="A196" s="222">
        <v>5355</v>
      </c>
    </row>
    <row r="197" spans="1:1">
      <c r="A197" s="222">
        <v>5356</v>
      </c>
    </row>
    <row r="198" spans="1:1">
      <c r="A198" s="222">
        <v>5403</v>
      </c>
    </row>
    <row r="199" spans="1:1">
      <c r="A199" s="222">
        <v>5410</v>
      </c>
    </row>
    <row r="200" spans="1:1">
      <c r="A200" s="222">
        <v>5425</v>
      </c>
    </row>
    <row r="201" spans="1:1">
      <c r="A201" s="222">
        <v>5439</v>
      </c>
    </row>
    <row r="202" spans="1:1">
      <c r="A202" s="222">
        <v>5465</v>
      </c>
    </row>
    <row r="203" spans="1:1">
      <c r="A203" s="222">
        <v>5478</v>
      </c>
    </row>
    <row r="204" spans="1:1">
      <c r="A204" s="222">
        <v>5480</v>
      </c>
    </row>
    <row r="205" spans="1:1">
      <c r="A205" s="222">
        <v>5483</v>
      </c>
    </row>
    <row r="206" spans="1:1">
      <c r="A206" s="222">
        <v>5487</v>
      </c>
    </row>
    <row r="207" spans="1:1">
      <c r="A207" s="222">
        <v>5533</v>
      </c>
    </row>
    <row r="208" spans="1:1">
      <c r="A208" s="222">
        <v>5536</v>
      </c>
    </row>
    <row r="209" spans="1:1">
      <c r="A209" s="222">
        <v>5601</v>
      </c>
    </row>
    <row r="210" spans="1:1">
      <c r="A210" s="222">
        <v>5603</v>
      </c>
    </row>
    <row r="211" spans="1:1">
      <c r="A211" s="222">
        <v>5609</v>
      </c>
    </row>
    <row r="212" spans="1:1">
      <c r="A212" s="222">
        <v>5903</v>
      </c>
    </row>
    <row r="213" spans="1:1">
      <c r="A213" s="222">
        <v>5904</v>
      </c>
    </row>
    <row r="214" spans="1:1">
      <c r="A214" s="222">
        <v>6103</v>
      </c>
    </row>
    <row r="215" spans="1:1">
      <c r="A215" s="222">
        <v>6113</v>
      </c>
    </row>
    <row r="216" spans="1:1">
      <c r="A216" s="222">
        <v>6114</v>
      </c>
    </row>
    <row r="217" spans="1:1">
      <c r="A217" s="222">
        <v>6121</v>
      </c>
    </row>
    <row r="218" spans="1:1">
      <c r="A218" s="222">
        <v>6136</v>
      </c>
    </row>
    <row r="219" spans="1:1">
      <c r="A219" s="222">
        <v>6143</v>
      </c>
    </row>
    <row r="220" spans="1:1">
      <c r="A220" s="222">
        <v>6146</v>
      </c>
    </row>
    <row r="221" spans="1:1">
      <c r="A221" s="222">
        <v>6147</v>
      </c>
    </row>
    <row r="222" spans="1:1">
      <c r="A222" s="222">
        <v>6154</v>
      </c>
    </row>
    <row r="223" spans="1:1">
      <c r="A223" s="222">
        <v>6161</v>
      </c>
    </row>
    <row r="224" spans="1:1">
      <c r="A224" s="222">
        <v>6172</v>
      </c>
    </row>
    <row r="225" spans="1:1">
      <c r="A225" s="222">
        <v>6174</v>
      </c>
    </row>
    <row r="226" spans="1:1">
      <c r="A226" s="222">
        <v>6175</v>
      </c>
    </row>
    <row r="227" spans="1:1">
      <c r="A227" s="222">
        <v>6176</v>
      </c>
    </row>
    <row r="228" spans="1:1">
      <c r="A228" s="222">
        <v>6180</v>
      </c>
    </row>
    <row r="229" spans="1:1">
      <c r="A229" s="222">
        <v>6202</v>
      </c>
    </row>
    <row r="230" spans="1:1">
      <c r="A230" s="222">
        <v>6208</v>
      </c>
    </row>
    <row r="231" spans="1:1">
      <c r="A231" s="222">
        <v>6209</v>
      </c>
    </row>
    <row r="232" spans="1:1">
      <c r="A232" s="222">
        <v>6213</v>
      </c>
    </row>
    <row r="233" spans="1:1">
      <c r="A233" s="222">
        <v>6214</v>
      </c>
    </row>
    <row r="234" spans="1:1">
      <c r="A234" s="222">
        <v>6223</v>
      </c>
    </row>
    <row r="235" spans="1:1">
      <c r="A235" s="222">
        <v>6224</v>
      </c>
    </row>
    <row r="236" spans="1:1">
      <c r="A236" s="222">
        <v>6226</v>
      </c>
    </row>
    <row r="237" spans="1:1">
      <c r="A237" s="222">
        <v>6233</v>
      </c>
    </row>
    <row r="238" spans="1:1">
      <c r="A238" s="222">
        <v>6235</v>
      </c>
    </row>
    <row r="239" spans="1:1">
      <c r="A239" s="222">
        <v>6237</v>
      </c>
    </row>
    <row r="240" spans="1:1">
      <c r="A240" s="222">
        <v>6239</v>
      </c>
    </row>
    <row r="241" spans="1:1">
      <c r="A241" s="222">
        <v>6242</v>
      </c>
    </row>
    <row r="242" spans="1:1">
      <c r="A242" s="222">
        <v>6243</v>
      </c>
    </row>
    <row r="243" spans="1:1">
      <c r="A243" s="222">
        <v>6251</v>
      </c>
    </row>
    <row r="244" spans="1:1">
      <c r="A244" s="222">
        <v>6263</v>
      </c>
    </row>
    <row r="245" spans="1:1">
      <c r="A245" s="222">
        <v>6278</v>
      </c>
    </row>
    <row r="246" spans="1:1">
      <c r="A246" s="222">
        <v>6285</v>
      </c>
    </row>
    <row r="247" spans="1:1">
      <c r="A247" s="222">
        <v>6292</v>
      </c>
    </row>
    <row r="248" spans="1:1">
      <c r="A248" s="222">
        <v>6294</v>
      </c>
    </row>
    <row r="249" spans="1:1">
      <c r="A249" s="222">
        <v>6451</v>
      </c>
    </row>
    <row r="250" spans="1:1">
      <c r="A250" s="222">
        <v>6452</v>
      </c>
    </row>
    <row r="251" spans="1:1">
      <c r="A251" s="222">
        <v>6488</v>
      </c>
    </row>
    <row r="252" spans="1:1">
      <c r="A252" s="222">
        <v>6603</v>
      </c>
    </row>
    <row r="253" spans="1:1">
      <c r="A253" s="222">
        <v>8024</v>
      </c>
    </row>
    <row r="254" spans="1:1">
      <c r="A254" s="222">
        <v>8033</v>
      </c>
    </row>
    <row r="255" spans="1:1">
      <c r="A255" s="222">
        <v>8039</v>
      </c>
    </row>
    <row r="256" spans="1:1">
      <c r="A256" s="222">
        <v>8046</v>
      </c>
    </row>
    <row r="257" spans="1:1">
      <c r="A257" s="222">
        <v>8085</v>
      </c>
    </row>
    <row r="258" spans="1:1">
      <c r="A258" s="222">
        <v>8086</v>
      </c>
    </row>
    <row r="259" spans="1:1">
      <c r="A259" s="222">
        <v>8131</v>
      </c>
    </row>
    <row r="260" spans="1:1">
      <c r="A260" s="222">
        <v>8147</v>
      </c>
    </row>
    <row r="261" spans="1:1">
      <c r="A261" s="222">
        <v>8213</v>
      </c>
    </row>
    <row r="262" spans="1:1">
      <c r="A262" s="222">
        <v>8404</v>
      </c>
    </row>
    <row r="263" spans="1:1">
      <c r="A263" s="222">
        <v>8411</v>
      </c>
    </row>
    <row r="264" spans="1:1">
      <c r="A264" s="222">
        <v>8423</v>
      </c>
    </row>
    <row r="265" spans="1:1">
      <c r="A265" s="222">
        <v>8426</v>
      </c>
    </row>
    <row r="266" spans="1:1">
      <c r="A266" s="222">
        <v>8432</v>
      </c>
    </row>
    <row r="267" spans="1:1">
      <c r="A267" s="222">
        <v>8450</v>
      </c>
    </row>
    <row r="268" spans="1:1">
      <c r="A268" s="222">
        <v>8454</v>
      </c>
    </row>
    <row r="269" spans="1:1">
      <c r="A269" s="222">
        <v>8463</v>
      </c>
    </row>
    <row r="270" spans="1:1">
      <c r="A270" s="222">
        <v>8906</v>
      </c>
    </row>
    <row r="271" spans="1:1">
      <c r="A271" s="222">
        <v>8913</v>
      </c>
    </row>
    <row r="272" spans="1:1">
      <c r="A272" s="222">
        <v>8926</v>
      </c>
    </row>
    <row r="273" spans="1:1">
      <c r="A273" s="222">
        <v>8938</v>
      </c>
    </row>
    <row r="274" spans="1:1">
      <c r="A274" s="222">
        <v>9907</v>
      </c>
    </row>
    <row r="275" spans="1:1">
      <c r="A275" s="222">
        <v>9927</v>
      </c>
    </row>
    <row r="276" spans="1:1">
      <c r="A276" s="222">
        <v>9933</v>
      </c>
    </row>
    <row r="277" spans="1:1">
      <c r="A277" s="222">
        <v>9938</v>
      </c>
    </row>
    <row r="278" spans="1:1">
      <c r="A278" s="222">
        <v>9940</v>
      </c>
    </row>
    <row r="279" spans="1:1">
      <c r="A279" s="222">
        <v>9949</v>
      </c>
    </row>
    <row r="280" spans="1:1">
      <c r="A280" s="222">
        <v>2303</v>
      </c>
    </row>
    <row r="281" spans="1:1" hidden="1"/>
    <row r="282" spans="1:1" hidden="1"/>
    <row r="283" spans="1:1" hidden="1"/>
    <row r="284" spans="1:1" hidden="1"/>
    <row r="285" spans="1:1" hidden="1"/>
    <row r="286" spans="1:1" hidden="1"/>
    <row r="287" spans="1:1" hidden="1"/>
    <row r="288" spans="1:1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</sheetData>
  <autoFilter ref="A1:M705">
    <filterColumn colId="12">
      <customFilters>
        <customFilter operator="greaterThanOrEqual" val="0"/>
      </customFilters>
    </filterColumn>
  </autoFilter>
  <sortState ref="A2:H279">
    <sortCondition ref="A1:A279"/>
  </sortState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83" r:id="rId3" name="CommandButton5">
          <controlPr defaultSize="0" autoLine="0" r:id="rId4">
            <anchor moveWithCells="1">
              <from>
                <xdr:col>0</xdr:col>
                <xdr:colOff>57150</xdr:colOff>
                <xdr:row>0</xdr:row>
                <xdr:rowOff>38100</xdr:rowOff>
              </from>
              <to>
                <xdr:col>0</xdr:col>
                <xdr:colOff>857250</xdr:colOff>
                <xdr:row>0</xdr:row>
                <xdr:rowOff>409575</xdr:rowOff>
              </to>
            </anchor>
          </controlPr>
        </control>
      </mc:Choice>
      <mc:Fallback>
        <control shapeId="50183" r:id="rId3" name="CommandButton5"/>
      </mc:Fallback>
    </mc:AlternateContent>
    <mc:AlternateContent xmlns:mc="http://schemas.openxmlformats.org/markup-compatibility/2006">
      <mc:Choice Requires="x14">
        <control shapeId="50182" r:id="rId5" name="CommandButton4">
          <controlPr defaultSize="0" autoLine="0" r:id="rId6">
            <anchor moveWithCells="1">
              <from>
                <xdr:col>13</xdr:col>
                <xdr:colOff>85725</xdr:colOff>
                <xdr:row>0</xdr:row>
                <xdr:rowOff>47625</xdr:rowOff>
              </from>
              <to>
                <xdr:col>14</xdr:col>
                <xdr:colOff>409575</xdr:colOff>
                <xdr:row>0</xdr:row>
                <xdr:rowOff>390525</xdr:rowOff>
              </to>
            </anchor>
          </controlPr>
        </control>
      </mc:Choice>
      <mc:Fallback>
        <control shapeId="50182" r:id="rId5" name="CommandButton4"/>
      </mc:Fallback>
    </mc:AlternateContent>
    <mc:AlternateContent xmlns:mc="http://schemas.openxmlformats.org/markup-compatibility/2006">
      <mc:Choice Requires="x14">
        <control shapeId="50178" r:id="rId7" name="CommandButton1">
          <controlPr defaultSize="0" autoLine="0" r:id="rId8">
            <anchor moveWithCells="1">
              <from>
                <xdr:col>8</xdr:col>
                <xdr:colOff>57150</xdr:colOff>
                <xdr:row>0</xdr:row>
                <xdr:rowOff>28575</xdr:rowOff>
              </from>
              <to>
                <xdr:col>8</xdr:col>
                <xdr:colOff>876300</xdr:colOff>
                <xdr:row>0</xdr:row>
                <xdr:rowOff>409575</xdr:rowOff>
              </to>
            </anchor>
          </controlPr>
        </control>
      </mc:Choice>
      <mc:Fallback>
        <control shapeId="50178" r:id="rId7" name="CommandButton1"/>
      </mc:Fallback>
    </mc:AlternateContent>
    <mc:AlternateContent xmlns:mc="http://schemas.openxmlformats.org/markup-compatibility/2006">
      <mc:Choice Requires="x14">
        <control shapeId="50179" r:id="rId9" name="CommandButton2">
          <controlPr defaultSize="0" autoLine="0" autoPict="0" r:id="rId10">
            <anchor moveWithCells="1">
              <from>
                <xdr:col>10</xdr:col>
                <xdr:colOff>28575</xdr:colOff>
                <xdr:row>0</xdr:row>
                <xdr:rowOff>28575</xdr:rowOff>
              </from>
              <to>
                <xdr:col>10</xdr:col>
                <xdr:colOff>857250</xdr:colOff>
                <xdr:row>0</xdr:row>
                <xdr:rowOff>409575</xdr:rowOff>
              </to>
            </anchor>
          </controlPr>
        </control>
      </mc:Choice>
      <mc:Fallback>
        <control shapeId="50179" r:id="rId9" name="CommandButton2"/>
      </mc:Fallback>
    </mc:AlternateContent>
    <mc:AlternateContent xmlns:mc="http://schemas.openxmlformats.org/markup-compatibility/2006">
      <mc:Choice Requires="x14">
        <control shapeId="50180" r:id="rId11" name="CommandButton3">
          <controlPr defaultSize="0" autoLine="0" autoPict="0" r:id="rId12">
            <anchor moveWithCells="1">
              <from>
                <xdr:col>11</xdr:col>
                <xdr:colOff>9525</xdr:colOff>
                <xdr:row>0</xdr:row>
                <xdr:rowOff>47625</xdr:rowOff>
              </from>
              <to>
                <xdr:col>12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50180" r:id="rId11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N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6" sqref="F26"/>
    </sheetView>
  </sheetViews>
  <sheetFormatPr defaultRowHeight="16.5"/>
  <cols>
    <col min="6" max="6" width="81" bestFit="1" customWidth="1"/>
    <col min="7" max="7" width="107.625" bestFit="1" customWidth="1"/>
  </cols>
  <sheetData>
    <row r="1" spans="1:14" s="63" customFormat="1" ht="32.25" customHeight="1">
      <c r="A1" s="290" t="s">
        <v>2309</v>
      </c>
    </row>
    <row r="2" spans="1:14">
      <c r="A2" s="289" t="s">
        <v>2305</v>
      </c>
    </row>
    <row r="3" spans="1:14">
      <c r="A3" s="289" t="s">
        <v>2306</v>
      </c>
    </row>
    <row r="4" spans="1:14">
      <c r="A4" s="289" t="s">
        <v>2307</v>
      </c>
    </row>
    <row r="5" spans="1:14">
      <c r="A5" s="289" t="s">
        <v>2322</v>
      </c>
    </row>
    <row r="7" spans="1:14">
      <c r="A7" s="32" t="s">
        <v>2318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</row>
    <row r="8" spans="1:14">
      <c r="A8" s="32" t="s">
        <v>2318</v>
      </c>
      <c r="B8" s="32">
        <v>2382</v>
      </c>
      <c r="C8" s="32" t="s">
        <v>2325</v>
      </c>
      <c r="D8" s="32" t="s">
        <v>2302</v>
      </c>
      <c r="E8" s="288">
        <v>0.63055555555555554</v>
      </c>
      <c r="F8" s="32" t="s">
        <v>2326</v>
      </c>
      <c r="G8" s="32"/>
      <c r="H8" s="32"/>
      <c r="I8" s="32"/>
      <c r="J8" s="32"/>
      <c r="K8" s="32"/>
      <c r="L8" s="32"/>
      <c r="M8" s="32"/>
      <c r="N8" s="32"/>
    </row>
    <row r="9" spans="1:14">
      <c r="A9" s="32" t="s">
        <v>2318</v>
      </c>
      <c r="B9" s="32">
        <v>2412</v>
      </c>
      <c r="C9" s="32" t="s">
        <v>2323</v>
      </c>
      <c r="D9" s="32" t="s">
        <v>2302</v>
      </c>
      <c r="E9" s="288">
        <v>0.61633101851851857</v>
      </c>
      <c r="F9" s="32" t="s">
        <v>2324</v>
      </c>
      <c r="G9" s="32"/>
      <c r="H9" s="32"/>
      <c r="I9" s="32"/>
      <c r="J9" s="32"/>
      <c r="K9" s="32"/>
      <c r="L9" s="32"/>
      <c r="M9" s="32"/>
      <c r="N9" s="32"/>
    </row>
    <row r="10" spans="1:14">
      <c r="A10" s="32" t="s">
        <v>2318</v>
      </c>
      <c r="B10" s="32">
        <v>6136</v>
      </c>
      <c r="C10" s="32" t="s">
        <v>2319</v>
      </c>
      <c r="D10" s="32" t="s">
        <v>2302</v>
      </c>
      <c r="E10" s="288">
        <v>0.60689814814814813</v>
      </c>
      <c r="F10" s="32" t="s">
        <v>2320</v>
      </c>
      <c r="G10" s="32"/>
      <c r="H10" s="32"/>
      <c r="I10" s="32"/>
      <c r="J10" s="32"/>
      <c r="K10" s="32"/>
      <c r="L10" s="32"/>
      <c r="M10" s="32"/>
      <c r="N10" s="32"/>
    </row>
    <row r="11" spans="1:14">
      <c r="A11" s="32" t="s">
        <v>2318</v>
      </c>
      <c r="B11" s="32">
        <v>1524</v>
      </c>
      <c r="C11" s="32" t="s">
        <v>2314</v>
      </c>
      <c r="D11" s="32" t="s">
        <v>2302</v>
      </c>
      <c r="E11" s="288">
        <v>0.58616898148148155</v>
      </c>
      <c r="F11" s="32" t="s">
        <v>2315</v>
      </c>
      <c r="G11" s="32"/>
      <c r="H11" s="32"/>
      <c r="I11" s="32"/>
      <c r="J11" s="32"/>
      <c r="K11" s="32"/>
      <c r="L11" s="32"/>
      <c r="M11" s="32"/>
      <c r="N11" s="32"/>
    </row>
    <row r="12" spans="1:14">
      <c r="A12" s="32" t="s">
        <v>2318</v>
      </c>
      <c r="B12" s="32">
        <v>4912</v>
      </c>
      <c r="C12" s="32" t="s">
        <v>2316</v>
      </c>
      <c r="D12" s="32" t="s">
        <v>2302</v>
      </c>
      <c r="E12" s="288">
        <v>0.58542824074074074</v>
      </c>
      <c r="F12" s="32" t="s">
        <v>2317</v>
      </c>
      <c r="G12" s="32"/>
      <c r="H12" s="32"/>
      <c r="I12" s="32"/>
      <c r="J12" s="32"/>
      <c r="K12" s="32"/>
      <c r="L12" s="32"/>
      <c r="M12" s="32"/>
      <c r="N12" s="32"/>
    </row>
    <row r="13" spans="1:14">
      <c r="A13" s="32" t="s">
        <v>2318</v>
      </c>
      <c r="B13" s="32">
        <v>1904</v>
      </c>
      <c r="C13" s="32" t="s">
        <v>2312</v>
      </c>
      <c r="D13" s="32" t="s">
        <v>2302</v>
      </c>
      <c r="E13" s="288">
        <v>0.58165509259259263</v>
      </c>
      <c r="F13" s="32" t="s">
        <v>2313</v>
      </c>
      <c r="G13" s="32"/>
      <c r="H13" s="32"/>
      <c r="I13" s="32"/>
      <c r="J13" s="32"/>
      <c r="K13" s="32"/>
      <c r="L13" s="32"/>
      <c r="M13" s="32"/>
      <c r="N13" s="32"/>
    </row>
    <row r="14" spans="1:14">
      <c r="A14" s="32" t="s">
        <v>2318</v>
      </c>
      <c r="B14" s="32">
        <v>8072</v>
      </c>
      <c r="C14" s="32" t="s">
        <v>2310</v>
      </c>
      <c r="D14" s="32" t="s">
        <v>2302</v>
      </c>
      <c r="E14" s="288">
        <v>0.57321759259259253</v>
      </c>
      <c r="F14" s="32" t="s">
        <v>2311</v>
      </c>
      <c r="G14" s="32"/>
      <c r="H14" s="32"/>
      <c r="I14" s="32"/>
      <c r="J14" s="32"/>
      <c r="K14" s="32"/>
      <c r="L14" s="32"/>
      <c r="M14" s="32"/>
      <c r="N14" s="32"/>
    </row>
    <row r="15" spans="1:14">
      <c r="A15" s="32" t="s">
        <v>2318</v>
      </c>
      <c r="B15" s="32">
        <v>5312</v>
      </c>
      <c r="C15" s="32" t="s">
        <v>423</v>
      </c>
      <c r="D15" s="32" t="s">
        <v>2302</v>
      </c>
      <c r="E15" s="288">
        <v>0.55895833333333333</v>
      </c>
      <c r="F15" s="32" t="s">
        <v>2308</v>
      </c>
      <c r="G15" s="32"/>
      <c r="H15" s="32"/>
      <c r="I15" s="32"/>
      <c r="J15" s="32"/>
      <c r="K15" s="32"/>
      <c r="L15" s="32"/>
      <c r="M15" s="32"/>
      <c r="N15" s="32"/>
    </row>
    <row r="16" spans="1:14">
      <c r="A16" s="32" t="s">
        <v>2318</v>
      </c>
      <c r="B16" s="32">
        <v>6504</v>
      </c>
      <c r="C16" s="32" t="s">
        <v>2303</v>
      </c>
      <c r="D16" s="32" t="s">
        <v>2302</v>
      </c>
      <c r="E16" s="288">
        <v>0.50746527777777783</v>
      </c>
      <c r="F16" s="32" t="s">
        <v>2304</v>
      </c>
      <c r="G16" s="32"/>
      <c r="H16" s="32"/>
      <c r="I16" s="32"/>
      <c r="J16" s="32"/>
      <c r="K16" s="32"/>
      <c r="L16" s="32"/>
      <c r="M16" s="32"/>
      <c r="N16" s="3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9525</xdr:rowOff>
              </from>
              <to>
                <xdr:col>2</xdr:col>
                <xdr:colOff>552450</xdr:colOff>
                <xdr:row>0</xdr:row>
                <xdr:rowOff>371475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206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CommandButton3">
          <controlPr defaultSize="0" autoLine="0" autoPict="0" r:id="rId5">
            <anchor moveWithCells="1">
              <from>
                <xdr:col>13</xdr:col>
                <xdr:colOff>19050</xdr:colOff>
                <xdr:row>0</xdr:row>
                <xdr:rowOff>19050</xdr:rowOff>
              </from>
              <to>
                <xdr:col>13</xdr:col>
                <xdr:colOff>809625</xdr:colOff>
                <xdr:row>0</xdr:row>
                <xdr:rowOff>333375</xdr:rowOff>
              </to>
            </anchor>
          </controlPr>
        </control>
      </mc:Choice>
      <mc:Fallback>
        <control shapeId="5123" r:id="rId4" name="CommandButton3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12</xdr:col>
                <xdr:colOff>38100</xdr:colOff>
                <xdr:row>0</xdr:row>
                <xdr:rowOff>19050</xdr:rowOff>
              </from>
              <to>
                <xdr:col>12</xdr:col>
                <xdr:colOff>733425</xdr:colOff>
                <xdr:row>0</xdr:row>
                <xdr:rowOff>342900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1" r:id="rId8" name="CommandButton1">
          <controlPr defaultSize="0" autoLine="0" r:id="rId9">
            <anchor moveWithCells="1">
              <from>
                <xdr:col>11</xdr:col>
                <xdr:colOff>28575</xdr:colOff>
                <xdr:row>0</xdr:row>
                <xdr:rowOff>9525</xdr:rowOff>
              </from>
              <to>
                <xdr:col>11</xdr:col>
                <xdr:colOff>742950</xdr:colOff>
                <xdr:row>0</xdr:row>
                <xdr:rowOff>333375</xdr:rowOff>
              </to>
            </anchor>
          </controlPr>
        </control>
      </mc:Choice>
      <mc:Fallback>
        <control shapeId="5121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N51"/>
  <sheetViews>
    <sheetView workbookViewId="0">
      <pane xSplit="7" ySplit="1" topLeftCell="H44" activePane="bottomRight" state="frozen"/>
      <selection pane="topRight" activeCell="H1" sqref="H1"/>
      <selection pane="bottomLeft" activeCell="A2" sqref="A2"/>
      <selection pane="bottomRight" activeCell="K22" sqref="K22"/>
    </sheetView>
  </sheetViews>
  <sheetFormatPr defaultRowHeight="16.5"/>
  <sheetData>
    <row r="1" spans="1:14">
      <c r="A1" t="s">
        <v>210</v>
      </c>
      <c r="B1" t="s">
        <v>1926</v>
      </c>
      <c r="C1" t="s">
        <v>1927</v>
      </c>
      <c r="D1" t="s">
        <v>1928</v>
      </c>
      <c r="E1" t="s">
        <v>1929</v>
      </c>
      <c r="F1" t="s">
        <v>1930</v>
      </c>
      <c r="G1" t="s">
        <v>1931</v>
      </c>
      <c r="H1" t="s">
        <v>1932</v>
      </c>
      <c r="I1" t="s">
        <v>1933</v>
      </c>
      <c r="J1" t="s">
        <v>1934</v>
      </c>
      <c r="K1" t="s">
        <v>1935</v>
      </c>
      <c r="L1" t="s">
        <v>1936</v>
      </c>
      <c r="M1" t="s">
        <v>1901</v>
      </c>
      <c r="N1" t="s">
        <v>1937</v>
      </c>
    </row>
    <row r="2" spans="1:14">
      <c r="A2">
        <v>1560</v>
      </c>
      <c r="C2">
        <v>0</v>
      </c>
      <c r="D2">
        <v>0</v>
      </c>
      <c r="E2">
        <v>2</v>
      </c>
      <c r="F2">
        <v>1</v>
      </c>
      <c r="G2">
        <v>0</v>
      </c>
      <c r="N2">
        <v>3</v>
      </c>
    </row>
    <row r="3" spans="1:14">
      <c r="A3">
        <v>1605</v>
      </c>
      <c r="C3">
        <v>0</v>
      </c>
      <c r="D3">
        <v>0</v>
      </c>
      <c r="E3">
        <v>0</v>
      </c>
      <c r="F3">
        <v>0</v>
      </c>
      <c r="G3">
        <v>0</v>
      </c>
      <c r="N3">
        <v>0</v>
      </c>
    </row>
    <row r="4" spans="1:14">
      <c r="A4">
        <v>1724</v>
      </c>
      <c r="C4">
        <v>1</v>
      </c>
      <c r="D4">
        <v>1</v>
      </c>
      <c r="E4">
        <v>1</v>
      </c>
      <c r="F4">
        <v>1</v>
      </c>
      <c r="G4">
        <v>0</v>
      </c>
      <c r="N4">
        <v>4</v>
      </c>
    </row>
    <row r="5" spans="1:14">
      <c r="A5">
        <v>1730</v>
      </c>
      <c r="C5">
        <v>1</v>
      </c>
      <c r="D5">
        <v>1</v>
      </c>
      <c r="E5">
        <v>2</v>
      </c>
      <c r="F5">
        <v>1</v>
      </c>
      <c r="G5">
        <v>1</v>
      </c>
      <c r="N5">
        <v>6</v>
      </c>
    </row>
    <row r="6" spans="1:14">
      <c r="A6">
        <v>2013</v>
      </c>
      <c r="C6">
        <v>0</v>
      </c>
      <c r="D6">
        <v>1</v>
      </c>
      <c r="E6">
        <v>0</v>
      </c>
      <c r="F6">
        <v>0</v>
      </c>
      <c r="G6">
        <v>0</v>
      </c>
      <c r="N6">
        <v>1</v>
      </c>
    </row>
    <row r="7" spans="1:14">
      <c r="A7">
        <v>2015</v>
      </c>
      <c r="C7">
        <v>0</v>
      </c>
      <c r="D7">
        <v>1</v>
      </c>
      <c r="E7">
        <v>1</v>
      </c>
      <c r="F7">
        <v>1</v>
      </c>
      <c r="G7">
        <v>0</v>
      </c>
      <c r="N7">
        <v>3</v>
      </c>
    </row>
    <row r="8" spans="1:14">
      <c r="A8">
        <v>2062</v>
      </c>
      <c r="C8">
        <v>0</v>
      </c>
      <c r="D8">
        <v>1</v>
      </c>
      <c r="E8">
        <v>0</v>
      </c>
      <c r="F8">
        <v>1</v>
      </c>
      <c r="G8">
        <v>1</v>
      </c>
      <c r="N8">
        <v>3</v>
      </c>
    </row>
    <row r="9" spans="1:14">
      <c r="A9">
        <v>2303</v>
      </c>
      <c r="C9">
        <v>0</v>
      </c>
      <c r="D9">
        <v>0</v>
      </c>
      <c r="E9">
        <v>0</v>
      </c>
      <c r="F9">
        <v>1</v>
      </c>
      <c r="G9">
        <v>1</v>
      </c>
      <c r="N9">
        <v>2</v>
      </c>
    </row>
    <row r="10" spans="1:14">
      <c r="A10">
        <v>2308</v>
      </c>
      <c r="C10">
        <v>1</v>
      </c>
      <c r="D10">
        <v>1</v>
      </c>
      <c r="E10">
        <v>0</v>
      </c>
      <c r="F10">
        <v>1</v>
      </c>
      <c r="G10">
        <v>1</v>
      </c>
      <c r="N10">
        <v>4</v>
      </c>
    </row>
    <row r="11" spans="1:14">
      <c r="A11">
        <v>2344</v>
      </c>
      <c r="C11">
        <v>0</v>
      </c>
      <c r="D11">
        <v>0</v>
      </c>
      <c r="E11">
        <v>0</v>
      </c>
      <c r="F11">
        <v>1</v>
      </c>
      <c r="G11">
        <v>0</v>
      </c>
      <c r="N11">
        <v>1</v>
      </c>
    </row>
    <row r="12" spans="1:14">
      <c r="A12">
        <v>2395</v>
      </c>
      <c r="C12">
        <v>0</v>
      </c>
      <c r="D12">
        <v>0</v>
      </c>
      <c r="E12">
        <v>0</v>
      </c>
      <c r="F12">
        <v>1</v>
      </c>
      <c r="G12">
        <v>0</v>
      </c>
      <c r="N12">
        <v>1</v>
      </c>
    </row>
    <row r="13" spans="1:14">
      <c r="A13">
        <v>2439</v>
      </c>
      <c r="C13">
        <v>0</v>
      </c>
      <c r="D13">
        <v>1</v>
      </c>
      <c r="E13">
        <v>0</v>
      </c>
      <c r="F13">
        <v>1</v>
      </c>
      <c r="G13">
        <v>0</v>
      </c>
      <c r="N13">
        <v>2</v>
      </c>
    </row>
    <row r="14" spans="1:14">
      <c r="A14">
        <v>2455</v>
      </c>
      <c r="C14">
        <v>0</v>
      </c>
      <c r="D14">
        <v>0</v>
      </c>
      <c r="E14">
        <v>0</v>
      </c>
      <c r="F14">
        <v>1</v>
      </c>
      <c r="G14">
        <v>0</v>
      </c>
      <c r="N14">
        <v>1</v>
      </c>
    </row>
    <row r="15" spans="1:14">
      <c r="A15">
        <v>2489</v>
      </c>
      <c r="C15">
        <v>0</v>
      </c>
      <c r="D15">
        <v>1</v>
      </c>
      <c r="E15">
        <v>1</v>
      </c>
      <c r="F15">
        <v>0</v>
      </c>
      <c r="G15">
        <v>0</v>
      </c>
      <c r="N15">
        <v>2</v>
      </c>
    </row>
    <row r="16" spans="1:14">
      <c r="A16">
        <v>2497</v>
      </c>
      <c r="C16">
        <v>0</v>
      </c>
      <c r="D16">
        <v>0</v>
      </c>
      <c r="E16">
        <v>0</v>
      </c>
      <c r="F16">
        <v>0</v>
      </c>
      <c r="G16">
        <v>0</v>
      </c>
      <c r="N16">
        <v>0</v>
      </c>
    </row>
    <row r="17" spans="1:14">
      <c r="A17">
        <v>2637</v>
      </c>
      <c r="C17">
        <v>1</v>
      </c>
      <c r="D17">
        <v>1</v>
      </c>
      <c r="E17">
        <v>1</v>
      </c>
      <c r="F17">
        <v>1</v>
      </c>
      <c r="G17">
        <v>1</v>
      </c>
      <c r="N17">
        <v>5</v>
      </c>
    </row>
    <row r="18" spans="1:14">
      <c r="A18">
        <v>3030</v>
      </c>
      <c r="C18">
        <v>0</v>
      </c>
      <c r="D18">
        <v>1</v>
      </c>
      <c r="E18">
        <v>0</v>
      </c>
      <c r="F18">
        <v>0</v>
      </c>
      <c r="G18">
        <v>0</v>
      </c>
      <c r="N18">
        <v>1</v>
      </c>
    </row>
    <row r="19" spans="1:14">
      <c r="A19">
        <v>3045</v>
      </c>
      <c r="C19">
        <v>1</v>
      </c>
      <c r="D19">
        <v>1</v>
      </c>
      <c r="E19">
        <v>1</v>
      </c>
      <c r="F19">
        <v>1</v>
      </c>
      <c r="G19">
        <v>0</v>
      </c>
      <c r="N19">
        <v>4</v>
      </c>
    </row>
    <row r="20" spans="1:14">
      <c r="A20">
        <v>3088</v>
      </c>
      <c r="C20">
        <v>1</v>
      </c>
      <c r="D20">
        <v>1</v>
      </c>
      <c r="E20">
        <v>1</v>
      </c>
      <c r="F20">
        <v>1</v>
      </c>
      <c r="G20">
        <v>0</v>
      </c>
      <c r="N20">
        <v>4</v>
      </c>
    </row>
    <row r="21" spans="1:14">
      <c r="A21">
        <v>3189</v>
      </c>
      <c r="C21">
        <v>0</v>
      </c>
      <c r="D21">
        <v>1</v>
      </c>
      <c r="E21">
        <v>0</v>
      </c>
      <c r="F21">
        <v>1</v>
      </c>
      <c r="G21">
        <v>0</v>
      </c>
      <c r="N21">
        <v>2</v>
      </c>
    </row>
    <row r="22" spans="1:14">
      <c r="A22">
        <v>3211</v>
      </c>
      <c r="C22">
        <v>0</v>
      </c>
      <c r="D22">
        <v>1</v>
      </c>
      <c r="E22">
        <v>0</v>
      </c>
      <c r="F22">
        <v>1</v>
      </c>
      <c r="G22">
        <v>0</v>
      </c>
      <c r="N22">
        <v>2</v>
      </c>
    </row>
    <row r="23" spans="1:14">
      <c r="A23">
        <v>3504</v>
      </c>
      <c r="C23">
        <v>0</v>
      </c>
      <c r="D23">
        <v>1</v>
      </c>
      <c r="E23">
        <v>1</v>
      </c>
      <c r="F23">
        <v>0</v>
      </c>
      <c r="G23">
        <v>0</v>
      </c>
      <c r="N23">
        <v>2</v>
      </c>
    </row>
    <row r="24" spans="1:14">
      <c r="A24">
        <v>3511</v>
      </c>
      <c r="C24">
        <v>0</v>
      </c>
      <c r="D24">
        <v>1</v>
      </c>
      <c r="E24">
        <v>2</v>
      </c>
      <c r="F24">
        <v>1</v>
      </c>
      <c r="G24">
        <v>0</v>
      </c>
      <c r="N24">
        <v>4</v>
      </c>
    </row>
    <row r="25" spans="1:14">
      <c r="A25">
        <v>3587</v>
      </c>
      <c r="C25">
        <v>0</v>
      </c>
      <c r="D25">
        <v>1</v>
      </c>
      <c r="E25">
        <v>1</v>
      </c>
      <c r="F25">
        <v>1</v>
      </c>
      <c r="G25">
        <v>1</v>
      </c>
      <c r="N25">
        <v>4</v>
      </c>
    </row>
    <row r="26" spans="1:14">
      <c r="A26">
        <v>3623</v>
      </c>
      <c r="C26">
        <v>0</v>
      </c>
      <c r="D26">
        <v>1</v>
      </c>
      <c r="E26">
        <v>1</v>
      </c>
      <c r="F26">
        <v>1</v>
      </c>
      <c r="G26">
        <v>0</v>
      </c>
      <c r="N26">
        <v>3</v>
      </c>
    </row>
    <row r="27" spans="1:14">
      <c r="A27">
        <v>3658</v>
      </c>
      <c r="C27">
        <v>0</v>
      </c>
      <c r="D27">
        <v>0</v>
      </c>
      <c r="E27">
        <v>0</v>
      </c>
      <c r="F27">
        <v>1</v>
      </c>
      <c r="G27">
        <v>0</v>
      </c>
      <c r="N27">
        <v>1</v>
      </c>
    </row>
    <row r="28" spans="1:14">
      <c r="A28">
        <v>3675</v>
      </c>
      <c r="C28">
        <v>1</v>
      </c>
      <c r="D28">
        <v>1</v>
      </c>
      <c r="E28">
        <v>1</v>
      </c>
      <c r="F28">
        <v>1</v>
      </c>
      <c r="G28">
        <v>0</v>
      </c>
      <c r="N28">
        <v>4</v>
      </c>
    </row>
    <row r="29" spans="1:14">
      <c r="A29">
        <v>4152</v>
      </c>
      <c r="C29">
        <v>0</v>
      </c>
      <c r="D29">
        <v>0</v>
      </c>
      <c r="E29">
        <v>1</v>
      </c>
      <c r="F29">
        <v>0</v>
      </c>
      <c r="G29">
        <v>0</v>
      </c>
      <c r="N29">
        <v>1</v>
      </c>
    </row>
    <row r="30" spans="1:14">
      <c r="A30">
        <v>4190</v>
      </c>
      <c r="C30">
        <v>0</v>
      </c>
      <c r="D30">
        <v>0</v>
      </c>
      <c r="E30">
        <v>0</v>
      </c>
      <c r="F30">
        <v>1</v>
      </c>
      <c r="G30">
        <v>0</v>
      </c>
      <c r="N30">
        <v>1</v>
      </c>
    </row>
    <row r="31" spans="1:14">
      <c r="A31">
        <v>4712</v>
      </c>
      <c r="C31">
        <v>0</v>
      </c>
      <c r="D31">
        <v>1</v>
      </c>
      <c r="E31">
        <v>0</v>
      </c>
      <c r="F31">
        <v>1</v>
      </c>
      <c r="G31">
        <v>0</v>
      </c>
      <c r="N31">
        <v>2</v>
      </c>
    </row>
    <row r="32" spans="1:14">
      <c r="A32">
        <v>4919</v>
      </c>
      <c r="C32">
        <v>0</v>
      </c>
      <c r="D32">
        <v>1</v>
      </c>
      <c r="E32">
        <v>0</v>
      </c>
      <c r="F32">
        <v>0</v>
      </c>
      <c r="G32">
        <v>0</v>
      </c>
      <c r="N32">
        <v>1</v>
      </c>
    </row>
    <row r="33" spans="1:14">
      <c r="A33">
        <v>4966</v>
      </c>
      <c r="C33">
        <v>0</v>
      </c>
      <c r="D33">
        <v>0</v>
      </c>
      <c r="E33">
        <v>2</v>
      </c>
      <c r="F33">
        <v>0</v>
      </c>
      <c r="G33">
        <v>0</v>
      </c>
      <c r="N33">
        <v>2</v>
      </c>
    </row>
    <row r="34" spans="1:14">
      <c r="A34">
        <v>5007</v>
      </c>
      <c r="C34">
        <v>0</v>
      </c>
      <c r="D34">
        <v>1</v>
      </c>
      <c r="E34">
        <v>0</v>
      </c>
      <c r="F34">
        <v>1</v>
      </c>
      <c r="G34">
        <v>0</v>
      </c>
      <c r="N34">
        <v>2</v>
      </c>
    </row>
    <row r="35" spans="1:14">
      <c r="A35">
        <v>5203</v>
      </c>
      <c r="C35">
        <v>0</v>
      </c>
      <c r="D35">
        <v>1</v>
      </c>
      <c r="E35">
        <v>2</v>
      </c>
      <c r="F35">
        <v>0</v>
      </c>
      <c r="G35">
        <v>0</v>
      </c>
      <c r="N35">
        <v>3</v>
      </c>
    </row>
    <row r="36" spans="1:14">
      <c r="A36">
        <v>5274</v>
      </c>
      <c r="C36">
        <v>1</v>
      </c>
      <c r="D36">
        <v>1</v>
      </c>
      <c r="E36">
        <v>2</v>
      </c>
      <c r="F36">
        <v>1</v>
      </c>
      <c r="G36">
        <v>1</v>
      </c>
      <c r="N36">
        <v>6</v>
      </c>
    </row>
    <row r="37" spans="1:14">
      <c r="A37">
        <v>5288</v>
      </c>
      <c r="C37">
        <v>1</v>
      </c>
      <c r="D37">
        <v>1</v>
      </c>
      <c r="E37">
        <v>1</v>
      </c>
      <c r="F37">
        <v>1</v>
      </c>
      <c r="G37">
        <v>0</v>
      </c>
      <c r="N37">
        <v>4</v>
      </c>
    </row>
    <row r="38" spans="1:14">
      <c r="A38">
        <v>5347</v>
      </c>
      <c r="C38">
        <v>0</v>
      </c>
      <c r="D38">
        <v>0</v>
      </c>
      <c r="E38">
        <v>0</v>
      </c>
      <c r="F38">
        <v>1</v>
      </c>
      <c r="G38">
        <v>0</v>
      </c>
      <c r="N38">
        <v>1</v>
      </c>
    </row>
    <row r="39" spans="1:14">
      <c r="A39">
        <v>5904</v>
      </c>
      <c r="C39">
        <v>1</v>
      </c>
      <c r="D39">
        <v>1</v>
      </c>
      <c r="E39">
        <v>0</v>
      </c>
      <c r="F39">
        <v>1</v>
      </c>
      <c r="G39">
        <v>1</v>
      </c>
      <c r="N39">
        <v>4</v>
      </c>
    </row>
    <row r="40" spans="1:14">
      <c r="A40">
        <v>6176</v>
      </c>
      <c r="C40">
        <v>0</v>
      </c>
      <c r="D40">
        <v>1</v>
      </c>
      <c r="E40">
        <v>2</v>
      </c>
      <c r="F40">
        <v>0</v>
      </c>
      <c r="G40">
        <v>0</v>
      </c>
      <c r="N40">
        <v>3</v>
      </c>
    </row>
    <row r="41" spans="1:14">
      <c r="A41">
        <v>6176</v>
      </c>
      <c r="C41">
        <v>0</v>
      </c>
      <c r="D41">
        <v>1</v>
      </c>
      <c r="E41">
        <v>2</v>
      </c>
      <c r="F41">
        <v>0</v>
      </c>
      <c r="G41">
        <v>0</v>
      </c>
      <c r="N41">
        <v>3</v>
      </c>
    </row>
    <row r="42" spans="1:14">
      <c r="A42">
        <v>6202</v>
      </c>
      <c r="C42">
        <v>1</v>
      </c>
      <c r="D42">
        <v>1</v>
      </c>
      <c r="E42">
        <v>0</v>
      </c>
      <c r="F42">
        <v>1</v>
      </c>
      <c r="G42">
        <v>1</v>
      </c>
      <c r="N42">
        <v>4</v>
      </c>
    </row>
    <row r="43" spans="1:14">
      <c r="A43">
        <v>6213</v>
      </c>
      <c r="C43">
        <v>1</v>
      </c>
      <c r="D43">
        <v>1</v>
      </c>
      <c r="E43">
        <v>2</v>
      </c>
      <c r="F43">
        <v>0</v>
      </c>
      <c r="G43">
        <v>0</v>
      </c>
      <c r="N43">
        <v>4</v>
      </c>
    </row>
    <row r="44" spans="1:14">
      <c r="A44">
        <v>6251</v>
      </c>
      <c r="C44">
        <v>0</v>
      </c>
      <c r="D44">
        <v>1</v>
      </c>
      <c r="E44">
        <v>0</v>
      </c>
      <c r="F44">
        <v>1</v>
      </c>
      <c r="G44">
        <v>0</v>
      </c>
      <c r="N44">
        <v>2</v>
      </c>
    </row>
    <row r="45" spans="1:14">
      <c r="A45">
        <v>6274</v>
      </c>
      <c r="C45">
        <v>1</v>
      </c>
      <c r="D45">
        <v>1</v>
      </c>
      <c r="E45">
        <v>0</v>
      </c>
      <c r="F45">
        <v>1</v>
      </c>
      <c r="G45">
        <v>0</v>
      </c>
      <c r="N45">
        <v>3</v>
      </c>
    </row>
    <row r="46" spans="1:14">
      <c r="A46">
        <v>6278</v>
      </c>
      <c r="C46">
        <v>0</v>
      </c>
      <c r="D46">
        <v>1</v>
      </c>
      <c r="E46">
        <v>0</v>
      </c>
      <c r="F46">
        <v>0</v>
      </c>
      <c r="G46">
        <v>0</v>
      </c>
      <c r="N46">
        <v>1</v>
      </c>
    </row>
    <row r="47" spans="1:14">
      <c r="A47">
        <v>8039</v>
      </c>
      <c r="C47">
        <v>1</v>
      </c>
      <c r="D47">
        <v>1</v>
      </c>
      <c r="E47">
        <v>2</v>
      </c>
      <c r="F47">
        <v>0</v>
      </c>
      <c r="G47">
        <v>1</v>
      </c>
      <c r="N47">
        <v>5</v>
      </c>
    </row>
    <row r="48" spans="1:14">
      <c r="A48">
        <v>8083</v>
      </c>
      <c r="C48">
        <v>1</v>
      </c>
      <c r="D48">
        <v>1</v>
      </c>
      <c r="E48">
        <v>0</v>
      </c>
      <c r="F48">
        <v>1</v>
      </c>
      <c r="G48">
        <v>0</v>
      </c>
      <c r="N48">
        <v>3</v>
      </c>
    </row>
    <row r="49" spans="1:14">
      <c r="A49">
        <v>8086</v>
      </c>
      <c r="C49">
        <v>1</v>
      </c>
      <c r="D49">
        <v>1</v>
      </c>
      <c r="E49">
        <v>2</v>
      </c>
      <c r="F49">
        <v>1</v>
      </c>
      <c r="G49">
        <v>0</v>
      </c>
      <c r="N49">
        <v>5</v>
      </c>
    </row>
    <row r="50" spans="1:14">
      <c r="A50">
        <v>8454</v>
      </c>
      <c r="C50">
        <v>0</v>
      </c>
      <c r="D50">
        <v>0</v>
      </c>
      <c r="E50">
        <v>1</v>
      </c>
      <c r="F50">
        <v>1</v>
      </c>
      <c r="G50">
        <v>0</v>
      </c>
      <c r="N50">
        <v>2</v>
      </c>
    </row>
    <row r="51" spans="1:14">
      <c r="A51">
        <v>9940</v>
      </c>
      <c r="C51">
        <v>0</v>
      </c>
      <c r="D51">
        <v>0</v>
      </c>
      <c r="E51">
        <v>0</v>
      </c>
      <c r="F51">
        <v>1</v>
      </c>
      <c r="G51">
        <v>0</v>
      </c>
      <c r="N51">
        <v>1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210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211</v>
      </c>
      <c r="L1" t="s">
        <v>211</v>
      </c>
    </row>
    <row r="2" spans="1:12">
      <c r="A2" s="90">
        <v>2454</v>
      </c>
      <c r="B2" s="90" t="s">
        <v>10</v>
      </c>
      <c r="C2" s="90">
        <f>VLOOKUP("營業收入淨額",PKA!$B$1:$L$500,9,0)</f>
        <v>39008</v>
      </c>
      <c r="D2" s="90">
        <f>VLOOKUP("營業收入淨額",PKA!$B$1:$L$500,8,0)</f>
        <v>39798</v>
      </c>
      <c r="E2" s="90">
        <f>VLOOKUP("營業收入淨額",PKA!$B$1:$L$500,7,0)</f>
        <v>46005</v>
      </c>
      <c r="F2" s="90">
        <f>VLOOKUP("營業收入淨額",PKA!$B$1:$L$500,6,0)</f>
        <v>54133</v>
      </c>
      <c r="G2" s="90">
        <f>VLOOKUP("營業收入淨額",PKA!$B$1:$L$500,5,0)</f>
        <v>57472</v>
      </c>
      <c r="H2" s="90">
        <f>VLOOKUP("營業收入淨額",PKA!$B$1:$L$500,4,0)</f>
        <v>55453</v>
      </c>
      <c r="I2" s="90">
        <f>VLOOKUP("營業收入淨額",PKA!$B$1:$L$500,3,0)</f>
        <v>47536</v>
      </c>
      <c r="J2" s="90">
        <f>VLOOKUP("營業收入淨額",PKA!$B$1:$L$500,2,0)</f>
        <v>47044</v>
      </c>
      <c r="K2" s="90">
        <f>IF(ISNA(C4),MIN(C2:J3),MIN(C2:J4))</f>
        <v>7148</v>
      </c>
      <c r="L2" s="90">
        <f>IF(ISNA(C4),MAX(C2:J3),MAX(C2:J3))</f>
        <v>57472</v>
      </c>
    </row>
    <row r="3" spans="1:12">
      <c r="A3" s="90">
        <v>3034</v>
      </c>
      <c r="B3" s="90" t="s">
        <v>10</v>
      </c>
      <c r="C3" s="90">
        <f>VLOOKUP("營業收入淨額",PKB!$B$1:$L$500,9,0)</f>
        <v>10574</v>
      </c>
      <c r="D3" s="90">
        <f>VLOOKUP("營業收入淨額",PKB!$B$1:$L$500,8,0)</f>
        <v>10610</v>
      </c>
      <c r="E3" s="90">
        <f>VLOOKUP("營業收入淨額",PKB!$B$1:$L$500,7,0)</f>
        <v>10593</v>
      </c>
      <c r="F3" s="90">
        <f>VLOOKUP("營業收入淨額",PKB!$B$1:$L$500,6,0)</f>
        <v>13083</v>
      </c>
      <c r="G3" s="90">
        <f>VLOOKUP("營業收入淨額",PKB!$B$1:$L$500,5,0)</f>
        <v>15282</v>
      </c>
      <c r="H3" s="90">
        <f>VLOOKUP("營業收入淨額",PKB!$B$1:$L$500,4,0)</f>
        <v>15109</v>
      </c>
      <c r="I3" s="90">
        <f>VLOOKUP("營業收入淨額",PKB!$B$1:$L$500,3,0)</f>
        <v>12698</v>
      </c>
      <c r="J3" s="90">
        <f>VLOOKUP("營業收入淨額",PKB!$B$1:$L$500,2,0)</f>
        <v>12456</v>
      </c>
      <c r="K3" s="90"/>
      <c r="L3" s="90"/>
    </row>
    <row r="4" spans="1:12">
      <c r="A4" s="90">
        <v>2379</v>
      </c>
      <c r="B4" s="90" t="s">
        <v>10</v>
      </c>
      <c r="C4" s="90">
        <f>VLOOKUP("營業收入淨額",PKC!$B$1:$L$500,9,0)</f>
        <v>7177</v>
      </c>
      <c r="D4" s="90">
        <f>VLOOKUP("營業收入淨額",PKC!$B$1:$L$500,8,0)</f>
        <v>7303</v>
      </c>
      <c r="E4" s="90">
        <f>VLOOKUP("營業收入淨額",PKC!$B$1:$L$500,7,0)</f>
        <v>7326</v>
      </c>
      <c r="F4" s="90">
        <f>VLOOKUP("營業收入淨額",PKC!$B$1:$L$500,6,0)</f>
        <v>8075</v>
      </c>
      <c r="G4" s="90">
        <f>VLOOKUP("營業收入淨額",PKC!$B$1:$L$500,5,0)</f>
        <v>8300</v>
      </c>
      <c r="H4" s="90">
        <f>VLOOKUP("營業收入淨額",PKC!$B$1:$L$500,4,0)</f>
        <v>7562</v>
      </c>
      <c r="I4" s="90">
        <f>VLOOKUP("營業收入淨額",PKC!$B$1:$L$500,3,0)</f>
        <v>7446</v>
      </c>
      <c r="J4" s="90">
        <f>VLOOKUP("營業收入淨額",PKC!$B$1:$L$500,2,0)</f>
        <v>7148</v>
      </c>
      <c r="K4" s="90"/>
      <c r="L4" s="90"/>
    </row>
    <row r="5" spans="1:12">
      <c r="A5" s="91">
        <v>2454</v>
      </c>
      <c r="B5" s="91" t="s">
        <v>11</v>
      </c>
      <c r="C5" s="91">
        <f>VLOOKUP("營業成本",PKA!$B$1:$L$500,9,0)</f>
        <v>21867</v>
      </c>
      <c r="D5" s="91">
        <f>VLOOKUP("營業成本",PKA!$B$1:$L$500,8,0)</f>
        <v>21608</v>
      </c>
      <c r="E5" s="91">
        <f>VLOOKUP("營業成本",PKA!$B$1:$L$500,7,0)</f>
        <v>23779</v>
      </c>
      <c r="F5" s="91">
        <f>VLOOKUP("營業成本",PKA!$B$1:$L$500,6,0)</f>
        <v>27309</v>
      </c>
      <c r="G5" s="91">
        <f>VLOOKUP("營業成本",PKA!$B$1:$L$500,5,0)</f>
        <v>29238</v>
      </c>
      <c r="H5" s="91">
        <f>VLOOKUP("營業成本",PKA!$B$1:$L$500,4,0)</f>
        <v>28868</v>
      </c>
      <c r="I5" s="91">
        <f>VLOOKUP("營業成本",PKA!$B$1:$L$500,3,0)</f>
        <v>25038</v>
      </c>
      <c r="J5" s="91">
        <f>VLOOKUP("營業成本",PKA!$B$1:$L$500,2,0)</f>
        <v>25448</v>
      </c>
      <c r="K5" s="91"/>
      <c r="L5" s="91"/>
    </row>
    <row r="6" spans="1:12">
      <c r="A6" s="91">
        <v>3034</v>
      </c>
      <c r="B6" s="91" t="s">
        <v>11</v>
      </c>
      <c r="C6" s="91">
        <f>VLOOKUP("營業成本",PKB!$B$1:$L$500,9,0)</f>
        <v>7616</v>
      </c>
      <c r="D6" s="91">
        <f>VLOOKUP("營業成本",PKB!$B$1:$L$500,8,0)</f>
        <v>7708</v>
      </c>
      <c r="E6" s="91">
        <f>VLOOKUP("營業成本",PKB!$B$1:$L$500,7,0)</f>
        <v>7622</v>
      </c>
      <c r="F6" s="91">
        <f>VLOOKUP("營業成本",PKB!$B$1:$L$500,6,0)</f>
        <v>9308</v>
      </c>
      <c r="G6" s="91">
        <f>VLOOKUP("營業成本",PKB!$B$1:$L$500,5,0)</f>
        <v>10947</v>
      </c>
      <c r="H6" s="91">
        <f>VLOOKUP("營業成本",PKB!$B$1:$L$500,4,0)</f>
        <v>10802</v>
      </c>
      <c r="I6" s="91">
        <f>VLOOKUP("營業成本",PKB!$B$1:$L$500,3,0)</f>
        <v>9000</v>
      </c>
      <c r="J6" s="91">
        <f>VLOOKUP("營業成本",PKB!$B$1:$L$500,2,0)</f>
        <v>8963</v>
      </c>
      <c r="K6" s="91"/>
      <c r="L6" s="91"/>
    </row>
    <row r="7" spans="1:12">
      <c r="A7" s="91">
        <v>2379</v>
      </c>
      <c r="B7" s="91" t="s">
        <v>11</v>
      </c>
      <c r="C7" s="91">
        <f>VLOOKUP("營業成本",PKC!$B$1:$L$500,9,0)</f>
        <v>4143</v>
      </c>
      <c r="D7" s="91">
        <f>VLOOKUP("營業成本",PKC!$B$1:$L$500,8,0)</f>
        <v>4173</v>
      </c>
      <c r="E7" s="91">
        <f>VLOOKUP("營業成本",PKC!$B$1:$L$500,7,0)</f>
        <v>4113</v>
      </c>
      <c r="F7" s="91">
        <f>VLOOKUP("營業成本",PKC!$B$1:$L$500,6,0)</f>
        <v>4451</v>
      </c>
      <c r="G7" s="91">
        <f>VLOOKUP("營業成本",PKC!$B$1:$L$500,5,0)</f>
        <v>4687</v>
      </c>
      <c r="H7" s="91">
        <f>VLOOKUP("營業成本",PKC!$B$1:$L$500,4,0)</f>
        <v>4361</v>
      </c>
      <c r="I7" s="91">
        <f>VLOOKUP("營業成本",PKC!$B$1:$L$500,3,0)</f>
        <v>4159</v>
      </c>
      <c r="J7" s="91">
        <f>VLOOKUP("營業成本",PKC!$B$1:$L$500,2,0)</f>
        <v>4167</v>
      </c>
      <c r="K7" s="91"/>
      <c r="L7" s="91"/>
    </row>
    <row r="8" spans="1:12">
      <c r="A8" s="92">
        <v>2454</v>
      </c>
      <c r="B8" s="92" t="s">
        <v>13</v>
      </c>
      <c r="C8" s="92">
        <f>VLOOKUP("本期稅後淨利",PKA!$B$1:$L$500,9,0)</f>
        <v>8428</v>
      </c>
      <c r="D8" s="92">
        <f>VLOOKUP("本期稅後淨利",PKA!$B$1:$L$500,8,0)</f>
        <v>8623</v>
      </c>
      <c r="E8" s="92">
        <f>VLOOKUP("本期稅後淨利",PKA!$B$1:$L$500,7,0)</f>
        <v>10147</v>
      </c>
      <c r="F8" s="92">
        <f>VLOOKUP("本期稅後淨利",PKA!$B$1:$L$500,6,0)</f>
        <v>12558</v>
      </c>
      <c r="G8" s="92">
        <f>VLOOKUP("本期稅後淨利",PKA!$B$1:$L$500,5,0)</f>
        <v>13299</v>
      </c>
      <c r="H8" s="92">
        <f>VLOOKUP("本期稅後淨利",PKA!$B$1:$L$500,4,0)</f>
        <v>10393</v>
      </c>
      <c r="I8" s="92">
        <f>VLOOKUP("本期稅後淨利",PKA!$B$1:$L$500,3,0)</f>
        <v>7226</v>
      </c>
      <c r="J8" s="92">
        <f>VLOOKUP("本期稅後淨利",PKA!$B$1:$L$500,2,0)</f>
        <v>6350</v>
      </c>
      <c r="K8" s="92"/>
      <c r="L8" s="92"/>
    </row>
    <row r="9" spans="1:12">
      <c r="A9" s="92">
        <v>3034</v>
      </c>
      <c r="B9" s="92" t="s">
        <v>13</v>
      </c>
      <c r="C9" s="92">
        <f>VLOOKUP("本期稅後淨利",PKB!$B$1:$L$500,9,0)</f>
        <v>1239</v>
      </c>
      <c r="D9" s="92">
        <f>VLOOKUP("本期稅後淨利",PKB!$B$1:$L$500,8,0)</f>
        <v>1191</v>
      </c>
      <c r="E9" s="92">
        <f>VLOOKUP("本期稅後淨利",PKB!$B$1:$L$500,7,0)</f>
        <v>1267</v>
      </c>
      <c r="F9" s="92">
        <f>VLOOKUP("本期稅後淨利",PKB!$B$1:$L$500,6,0)</f>
        <v>1767</v>
      </c>
      <c r="G9" s="92">
        <f>VLOOKUP("本期稅後淨利",PKB!$B$1:$L$500,5,0)</f>
        <v>2088</v>
      </c>
      <c r="H9" s="92">
        <f>VLOOKUP("本期稅後淨利",PKB!$B$1:$L$500,4,0)</f>
        <v>2087</v>
      </c>
      <c r="I9" s="92">
        <f>VLOOKUP("本期稅後淨利",PKB!$B$1:$L$500,3,0)</f>
        <v>1700</v>
      </c>
      <c r="J9" s="92">
        <f>VLOOKUP("本期稅後淨利",PKB!$B$1:$L$500,2,0)</f>
        <v>1485</v>
      </c>
      <c r="K9" s="92"/>
      <c r="L9" s="92"/>
    </row>
    <row r="10" spans="1:12">
      <c r="A10" s="92">
        <v>2379</v>
      </c>
      <c r="B10" s="92" t="s">
        <v>13</v>
      </c>
      <c r="C10" s="92">
        <f>VLOOKUP("本期稅後淨利",PKC!$B$1:$L$500,9,0)</f>
        <v>827</v>
      </c>
      <c r="D10" s="92">
        <f>VLOOKUP("本期稅後淨利",PKC!$B$1:$L$500,8,0)</f>
        <v>699</v>
      </c>
      <c r="E10" s="92">
        <f>VLOOKUP("本期稅後淨利",PKC!$B$1:$L$500,7,0)</f>
        <v>820</v>
      </c>
      <c r="F10" s="92">
        <f>VLOOKUP("本期稅後淨利",PKC!$B$1:$L$500,6,0)</f>
        <v>1014</v>
      </c>
      <c r="G10" s="92">
        <f>VLOOKUP("本期稅後淨利",PKC!$B$1:$L$500,5,0)</f>
        <v>1504</v>
      </c>
      <c r="H10" s="92">
        <f>VLOOKUP("本期稅後淨利",PKC!$B$1:$L$500,4,0)</f>
        <v>555</v>
      </c>
      <c r="I10" s="92">
        <f>VLOOKUP("本期稅後淨利",PKC!$B$1:$L$500,3,0)</f>
        <v>741</v>
      </c>
      <c r="J10" s="92">
        <f>VLOOKUP("本期稅後淨利",PKC!$B$1:$L$500,2,0)</f>
        <v>365</v>
      </c>
      <c r="K10" s="92"/>
      <c r="L10" s="92"/>
    </row>
    <row r="11" spans="1:12">
      <c r="A11" s="93">
        <v>2454</v>
      </c>
      <c r="B11" s="93" t="s">
        <v>212</v>
      </c>
      <c r="C11" s="93">
        <f>VLOOKUP("每股盈餘 (元)",PKA!$B$1:$L$500,9,0)</f>
        <v>6.28</v>
      </c>
      <c r="D11" s="93">
        <f>VLOOKUP("每股盈餘 (元)",PKA!$B$1:$L$500,8,0)</f>
        <v>6.43</v>
      </c>
      <c r="E11" s="93">
        <f>VLOOKUP("每股盈餘 (元)",PKA!$B$1:$L$500,7,0)</f>
        <v>6.82</v>
      </c>
      <c r="F11" s="93">
        <f>VLOOKUP("每股盈餘 (元)",PKA!$B$1:$L$500,6,0)</f>
        <v>8.0299999999999994</v>
      </c>
      <c r="G11" s="93">
        <f>VLOOKUP("每股盈餘 (元)",PKA!$B$1:$L$500,5,0)</f>
        <v>8.51</v>
      </c>
      <c r="H11" s="93">
        <f>VLOOKUP("每股盈餘 (元)",PKA!$B$1:$L$500,4,0)</f>
        <v>6.73</v>
      </c>
      <c r="I11" s="93">
        <f>VLOOKUP("每股盈餘 (元)",PKA!$B$1:$L$500,3,0)</f>
        <v>4.62</v>
      </c>
      <c r="J11" s="93">
        <f>VLOOKUP("每股盈餘 (元)",PKA!$B$1:$L$500,2,0)</f>
        <v>4.0599999999999996</v>
      </c>
      <c r="K11" s="93"/>
      <c r="L11" s="93">
        <f>(SUM(G11:J11)/2)+(J11+I11)/2+(((G11-F11)/F11)+1)*J11</f>
        <v>20.602689912826897</v>
      </c>
    </row>
    <row r="12" spans="1:12">
      <c r="A12" s="93">
        <v>3034</v>
      </c>
      <c r="B12" s="93" t="s">
        <v>212</v>
      </c>
      <c r="C12" s="93">
        <f>VLOOKUP("每股盈餘 (元)",PKB!$B$1:$L$500,9,0)</f>
        <v>2.04</v>
      </c>
      <c r="D12" s="93">
        <f>VLOOKUP("每股盈餘 (元)",PKB!$B$1:$L$500,8,0)</f>
        <v>1.96</v>
      </c>
      <c r="E12" s="93">
        <f>VLOOKUP("每股盈餘 (元)",PKB!$B$1:$L$500,7,0)</f>
        <v>2.08</v>
      </c>
      <c r="F12" s="93">
        <f>VLOOKUP("每股盈餘 (元)",PKB!$B$1:$L$500,6,0)</f>
        <v>2.9</v>
      </c>
      <c r="G12" s="93">
        <f>VLOOKUP("每股盈餘 (元)",PKB!$B$1:$L$500,5,0)</f>
        <v>3.43</v>
      </c>
      <c r="H12" s="93">
        <f>VLOOKUP("每股盈餘 (元)",PKB!$B$1:$L$500,4,0)</f>
        <v>3.43</v>
      </c>
      <c r="I12" s="93">
        <f>VLOOKUP("每股盈餘 (元)",PKB!$B$1:$L$500,3,0)</f>
        <v>2.79</v>
      </c>
      <c r="J12" s="93">
        <f>VLOOKUP("每股盈餘 (元)",PKB!$B$1:$L$500,2,0)</f>
        <v>2.44</v>
      </c>
      <c r="K12" s="93"/>
      <c r="L12" s="93">
        <f>(SUM(G12:J12)/2)+(J12+I12)/2+(((G12-F12)/F12)+1)*J12</f>
        <v>11.545931034482759</v>
      </c>
    </row>
    <row r="13" spans="1:12">
      <c r="A13" s="93">
        <v>2379</v>
      </c>
      <c r="B13" s="93" t="s">
        <v>212</v>
      </c>
      <c r="C13" s="93">
        <f>VLOOKUP("每股盈餘 (元)",PKC!$B$1:$L$500,9,0)</f>
        <v>1.64</v>
      </c>
      <c r="D13" s="93">
        <f>VLOOKUP("每股盈餘 (元)",PKC!$B$1:$L$500,8,0)</f>
        <v>1.39</v>
      </c>
      <c r="E13" s="93">
        <f>VLOOKUP("每股盈餘 (元)",PKC!$B$1:$L$500,7,0)</f>
        <v>1.62</v>
      </c>
      <c r="F13" s="93">
        <f>VLOOKUP("每股盈餘 (元)",PKC!$B$1:$L$500,6,0)</f>
        <v>2.0099999999999998</v>
      </c>
      <c r="G13" s="93">
        <f>VLOOKUP("每股盈餘 (元)",PKC!$B$1:$L$500,5,0)</f>
        <v>2.98</v>
      </c>
      <c r="H13" s="93">
        <f>VLOOKUP("每股盈餘 (元)",PKC!$B$1:$L$500,4,0)</f>
        <v>1.1000000000000001</v>
      </c>
      <c r="I13" s="93">
        <f>VLOOKUP("每股盈餘 (元)",PKC!$B$1:$L$500,3,0)</f>
        <v>1.47</v>
      </c>
      <c r="J13" s="93">
        <f>VLOOKUP("每股盈餘 (元)",PKC!$B$1:$L$500,2,0)</f>
        <v>0.72</v>
      </c>
      <c r="K13" s="93"/>
      <c r="L13" s="93">
        <f>(SUM(G13:J13)/2)+(J13+I13)/2+(((G13-F13)/F13)+1)*J13</f>
        <v>5.2974626865671635</v>
      </c>
    </row>
    <row r="14" spans="1:12">
      <c r="A14" s="94">
        <v>2454</v>
      </c>
      <c r="B14" s="94" t="s">
        <v>193</v>
      </c>
      <c r="C14" s="94">
        <f>VLOOKUP(" 應收帳款及票據",PKA!$B$1:$L$500,9,0)</f>
        <v>11059</v>
      </c>
      <c r="D14" s="94">
        <f>VLOOKUP(" 應收帳款及票據",PKA!$B$1:$L$500,8,0)</f>
        <v>7628</v>
      </c>
      <c r="E14" s="94">
        <f>VLOOKUP(" 應收帳款及票據",PKA!$B$1:$L$500,7,0)</f>
        <v>13572</v>
      </c>
      <c r="F14" s="94">
        <f>VLOOKUP(" 應收帳款及票據",PKA!$B$1:$L$500,6,0)</f>
        <v>12983</v>
      </c>
      <c r="G14" s="94">
        <f>VLOOKUP(" 應收帳款及票據",PKA!$B$1:$L$500,5,0)</f>
        <v>15418</v>
      </c>
      <c r="H14" s="94">
        <f>VLOOKUP(" 應收帳款及票據",PKA!$B$1:$L$500,4,0)</f>
        <v>12552</v>
      </c>
      <c r="I14" s="94">
        <f>VLOOKUP(" 應收帳款及票據",PKA!$B$1:$L$500,3,0)</f>
        <v>13347</v>
      </c>
      <c r="J14" s="94">
        <f>VLOOKUP(" 應收帳款及票據",PKA!$B$1:$L$500,2,0)</f>
        <v>12250</v>
      </c>
      <c r="K14" s="94"/>
      <c r="L14" s="94"/>
    </row>
    <row r="15" spans="1:12">
      <c r="A15" s="94">
        <v>3034</v>
      </c>
      <c r="B15" s="94" t="s">
        <v>193</v>
      </c>
      <c r="C15" s="94">
        <f>VLOOKUP(" 應收帳款及票據",PKB!$B$1:$L$500,9,0)</f>
        <v>10760</v>
      </c>
      <c r="D15" s="94">
        <f>VLOOKUP(" 應收帳款及票據",PKB!$B$1:$L$500,8,0)</f>
        <v>10778</v>
      </c>
      <c r="E15" s="94">
        <f>VLOOKUP(" 應收帳款及票據",PKB!$B$1:$L$500,7,0)</f>
        <v>10985</v>
      </c>
      <c r="F15" s="94">
        <f>VLOOKUP(" 應收帳款及票據",PKB!$B$1:$L$500,6,0)</f>
        <v>12347</v>
      </c>
      <c r="G15" s="94">
        <f>VLOOKUP(" 應收帳款及票據",PKB!$B$1:$L$500,5,0)</f>
        <v>14637</v>
      </c>
      <c r="H15" s="94">
        <f>VLOOKUP(" 應收帳款及票據",PKB!$B$1:$L$500,4,0)</f>
        <v>14102</v>
      </c>
      <c r="I15" s="94">
        <f>VLOOKUP(" 應收帳款及票據",PKB!$B$1:$L$500,3,0)</f>
        <v>12063</v>
      </c>
      <c r="J15" s="94">
        <f>VLOOKUP(" 應收帳款及票據",PKB!$B$1:$L$500,2,0)</f>
        <v>11082</v>
      </c>
      <c r="K15" s="94"/>
      <c r="L15" s="94"/>
    </row>
    <row r="16" spans="1:12">
      <c r="A16" s="94">
        <v>2379</v>
      </c>
      <c r="B16" s="94" t="s">
        <v>193</v>
      </c>
      <c r="C16" s="94">
        <f>VLOOKUP(" 應收帳款及票據",PKC!$B$1:$L$500,9,0)</f>
        <v>3754</v>
      </c>
      <c r="D16" s="94">
        <f>VLOOKUP(" 應收帳款及票據",PKC!$B$1:$L$500,8,0)</f>
        <v>4056</v>
      </c>
      <c r="E16" s="94">
        <f>VLOOKUP(" 應收帳款及票據",PKC!$B$1:$L$500,7,0)</f>
        <v>3485</v>
      </c>
      <c r="F16" s="94">
        <f>VLOOKUP(" 應收帳款及票據",PKC!$B$1:$L$500,6,0)</f>
        <v>4238</v>
      </c>
      <c r="G16" s="94">
        <f>VLOOKUP(" 應收帳款及票據",PKC!$B$1:$L$500,5,0)</f>
        <v>4578</v>
      </c>
      <c r="H16" s="94">
        <f>VLOOKUP(" 應收帳款及票據",PKC!$B$1:$L$500,4,0)</f>
        <v>3667</v>
      </c>
      <c r="I16" s="94">
        <f>VLOOKUP(" 應收帳款及票據",PKC!$B$1:$L$500,3,0)</f>
        <v>3070</v>
      </c>
      <c r="J16" s="94">
        <f>VLOOKUP(" 應收帳款及票據",PKC!$B$1:$L$500,2,0)</f>
        <v>3137</v>
      </c>
      <c r="K16" s="94"/>
      <c r="L16" s="94"/>
    </row>
    <row r="17" spans="1:12">
      <c r="A17" s="90">
        <v>2454</v>
      </c>
      <c r="B17" s="90" t="s">
        <v>15</v>
      </c>
      <c r="C17" s="90">
        <f>VLOOKUP(" 存貨",PKA!$B$1:$L$500,9,0)</f>
        <v>12938</v>
      </c>
      <c r="D17" s="90">
        <f>VLOOKUP(" 存貨",PKA!$B$1:$L$500,8,0)</f>
        <v>9347</v>
      </c>
      <c r="E17" s="90">
        <f>VLOOKUP(" 存貨",PKA!$B$1:$L$500,7,0)</f>
        <v>16649</v>
      </c>
      <c r="F17" s="90">
        <f>VLOOKUP(" 存貨",PKA!$B$1:$L$500,6,0)</f>
        <v>19326</v>
      </c>
      <c r="G17" s="90">
        <f>VLOOKUP(" 存貨",PKA!$B$1:$L$500,5,0)</f>
        <v>24464</v>
      </c>
      <c r="H17" s="90">
        <f>VLOOKUP(" 存貨",PKA!$B$1:$L$500,4,0)</f>
        <v>22341</v>
      </c>
      <c r="I17" s="90">
        <f>VLOOKUP(" 存貨",PKA!$B$1:$L$500,3,0)</f>
        <v>28085</v>
      </c>
      <c r="J17" s="90">
        <f>VLOOKUP(" 存貨",PKA!$B$1:$L$500,2,0)</f>
        <v>33654</v>
      </c>
      <c r="K17" s="90"/>
      <c r="L17" s="90"/>
    </row>
    <row r="18" spans="1:12">
      <c r="A18" s="90">
        <v>3034</v>
      </c>
      <c r="B18" s="90" t="s">
        <v>15</v>
      </c>
      <c r="C18" s="90">
        <f>VLOOKUP(" 存貨",PKB!$B$1:$L$500,9,0)</f>
        <v>5226</v>
      </c>
      <c r="D18" s="90">
        <f>VLOOKUP(" 存貨",PKB!$B$1:$L$500,8,0)</f>
        <v>4362</v>
      </c>
      <c r="E18" s="90">
        <f>VLOOKUP(" 存貨",PKB!$B$1:$L$500,7,0)</f>
        <v>5472</v>
      </c>
      <c r="F18" s="90">
        <f>VLOOKUP(" 存貨",PKB!$B$1:$L$500,6,0)</f>
        <v>6404</v>
      </c>
      <c r="G18" s="90">
        <f>VLOOKUP(" 存貨",PKB!$B$1:$L$500,5,0)</f>
        <v>6676</v>
      </c>
      <c r="H18" s="90">
        <f>VLOOKUP(" 存貨",PKB!$B$1:$L$500,4,0)</f>
        <v>6160</v>
      </c>
      <c r="I18" s="90">
        <f>VLOOKUP(" 存貨",PKB!$B$1:$L$500,3,0)</f>
        <v>6980</v>
      </c>
      <c r="J18" s="90">
        <f>VLOOKUP(" 存貨",PKB!$B$1:$L$500,2,0)</f>
        <v>6299</v>
      </c>
      <c r="K18" s="90"/>
      <c r="L18" s="90"/>
    </row>
    <row r="19" spans="1:12">
      <c r="A19" s="90">
        <v>2379</v>
      </c>
      <c r="B19" s="90" t="s">
        <v>15</v>
      </c>
      <c r="C19" s="90">
        <f>VLOOKUP(" 存貨",PKC!$B$1:$L$500,9,0)</f>
        <v>3263</v>
      </c>
      <c r="D19" s="90">
        <f>VLOOKUP(" 存貨",PKC!$B$1:$L$500,8,0)</f>
        <v>2791</v>
      </c>
      <c r="E19" s="90">
        <f>VLOOKUP(" 存貨",PKC!$B$1:$L$500,7,0)</f>
        <v>2945</v>
      </c>
      <c r="F19" s="90">
        <f>VLOOKUP(" 存貨",PKC!$B$1:$L$500,6,0)</f>
        <v>2869</v>
      </c>
      <c r="G19" s="90">
        <f>VLOOKUP(" 存貨",PKC!$B$1:$L$500,5,0)</f>
        <v>2979</v>
      </c>
      <c r="H19" s="90">
        <f>VLOOKUP(" 存貨",PKC!$B$1:$L$500,4,0)</f>
        <v>3882</v>
      </c>
      <c r="I19" s="90">
        <f>VLOOKUP(" 存貨",PKC!$B$1:$L$500,3,0)</f>
        <v>4281</v>
      </c>
      <c r="J19" s="90">
        <f>VLOOKUP(" 存貨",PKC!$B$1:$L$500,2,0)</f>
        <v>5107</v>
      </c>
      <c r="K19" s="90"/>
      <c r="L19" s="90"/>
    </row>
    <row r="20" spans="1:12">
      <c r="A20" s="91">
        <v>2454</v>
      </c>
      <c r="B20" s="91" t="s">
        <v>17</v>
      </c>
      <c r="C20" s="91">
        <f>VLOOKUP("負債總額",PKA!$B$1:$L$500,9,0)</f>
        <v>53095</v>
      </c>
      <c r="D20" s="91">
        <f>VLOOKUP("負債總額",PKA!$B$1:$L$500,8,0)</f>
        <v>63283</v>
      </c>
      <c r="E20" s="91">
        <f>VLOOKUP("負債總額",PKA!$B$1:$L$500,7,0)</f>
        <v>70145</v>
      </c>
      <c r="F20" s="91">
        <f>VLOOKUP("負債總額",PKA!$B$1:$L$500,6,0)</f>
        <v>109540</v>
      </c>
      <c r="G20" s="91">
        <f>VLOOKUP("負債總額",PKA!$B$1:$L$500,5,0)</f>
        <v>104104</v>
      </c>
      <c r="H20" s="91">
        <f>VLOOKUP("負債總額",PKA!$B$1:$L$500,4,0)</f>
        <v>103513</v>
      </c>
      <c r="I20" s="91">
        <f>VLOOKUP("負債總額",PKA!$B$1:$L$500,3,0)</f>
        <v>110214</v>
      </c>
      <c r="J20" s="91">
        <f>VLOOKUP("負債總額",PKA!$B$1:$L$500,2,0)</f>
        <v>145918</v>
      </c>
      <c r="K20" s="91"/>
      <c r="L20" s="91"/>
    </row>
    <row r="21" spans="1:12">
      <c r="A21" s="91">
        <v>3034</v>
      </c>
      <c r="B21" s="91" t="s">
        <v>17</v>
      </c>
      <c r="C21" s="91">
        <f>VLOOKUP("負債總額",PKB!$B$1:$L$500,9,0)</f>
        <v>15364</v>
      </c>
      <c r="D21" s="91">
        <f>VLOOKUP("負債總額",PKB!$B$1:$L$500,8,0)</f>
        <v>14378</v>
      </c>
      <c r="E21" s="91">
        <f>VLOOKUP("負債總額",PKB!$B$1:$L$500,7,0)</f>
        <v>16119</v>
      </c>
      <c r="F21" s="91">
        <f>VLOOKUP("負債總額",PKB!$B$1:$L$500,6,0)</f>
        <v>21196</v>
      </c>
      <c r="G21" s="91">
        <f>VLOOKUP("負債總額",PKB!$B$1:$L$500,5,0)</f>
        <v>19812</v>
      </c>
      <c r="H21" s="91">
        <f>VLOOKUP("負債總額",PKB!$B$1:$L$500,4,0)</f>
        <v>17704</v>
      </c>
      <c r="I21" s="91">
        <f>VLOOKUP("負債總額",PKB!$B$1:$L$500,3,0)</f>
        <v>16660</v>
      </c>
      <c r="J21" s="91">
        <f>VLOOKUP("負債總額",PKB!$B$1:$L$500,2,0)</f>
        <v>18982</v>
      </c>
      <c r="K21" s="91"/>
      <c r="L21" s="91"/>
    </row>
    <row r="22" spans="1:12">
      <c r="A22" s="91">
        <v>2379</v>
      </c>
      <c r="B22" s="91" t="s">
        <v>17</v>
      </c>
      <c r="C22" s="91">
        <f>VLOOKUP("負債總額",PKC!$B$1:$L$500,9,0)</f>
        <v>15096</v>
      </c>
      <c r="D22" s="91">
        <f>VLOOKUP("負債總額",PKC!$B$1:$L$500,8,0)</f>
        <v>14605</v>
      </c>
      <c r="E22" s="91">
        <f>VLOOKUP("負債總額",PKC!$B$1:$L$500,7,0)</f>
        <v>15700</v>
      </c>
      <c r="F22" s="91">
        <f>VLOOKUP("負債總額",PKC!$B$1:$L$500,6,0)</f>
        <v>19065</v>
      </c>
      <c r="G22" s="91">
        <f>VLOOKUP("負債總額",PKC!$B$1:$L$500,5,0)</f>
        <v>21607</v>
      </c>
      <c r="H22" s="91">
        <f>VLOOKUP("負債總額",PKC!$B$1:$L$500,4,0)</f>
        <v>18968</v>
      </c>
      <c r="I22" s="91">
        <f>VLOOKUP("負債總額",PKC!$B$1:$L$500,3,0)</f>
        <v>22851</v>
      </c>
      <c r="J22" s="91">
        <f>VLOOKUP("負債總額",PKC!$B$1:$L$500,2,0)</f>
        <v>26438</v>
      </c>
      <c r="K22" s="91"/>
      <c r="L22" s="91"/>
    </row>
    <row r="23" spans="1:12">
      <c r="A23" s="92">
        <v>2454</v>
      </c>
      <c r="B23" s="92" t="s">
        <v>18</v>
      </c>
      <c r="C23" s="92">
        <f>VLOOKUP("資產總額",PKA!$B$1:$L$500,9,0)</f>
        <v>238195</v>
      </c>
      <c r="D23" s="92">
        <f>VLOOKUP("資產總額",PKA!$B$1:$L$500,8,0)</f>
        <v>258637</v>
      </c>
      <c r="E23" s="92">
        <f>VLOOKUP("資產總額",PKA!$B$1:$L$500,7,0)</f>
        <v>298543</v>
      </c>
      <c r="F23" s="92">
        <f>VLOOKUP("資產總額",PKA!$B$1:$L$500,6,0)</f>
        <v>323857</v>
      </c>
      <c r="G23" s="92">
        <f>VLOOKUP("資產總額",PKA!$B$1:$L$500,5,0)</f>
        <v>335083</v>
      </c>
      <c r="H23" s="92">
        <f>VLOOKUP("資產總額",PKA!$B$1:$L$500,4,0)</f>
        <v>351119</v>
      </c>
      <c r="I23" s="92">
        <f>VLOOKUP("資產總額",PKA!$B$1:$L$500,3,0)</f>
        <v>363834</v>
      </c>
      <c r="J23" s="92">
        <f>VLOOKUP("資產總額",PKA!$B$1:$L$500,2,0)</f>
        <v>371355</v>
      </c>
      <c r="K23" s="92"/>
      <c r="L23" s="92"/>
    </row>
    <row r="24" spans="1:12">
      <c r="A24" s="92">
        <v>3034</v>
      </c>
      <c r="B24" s="92" t="s">
        <v>18</v>
      </c>
      <c r="C24" s="92">
        <f>VLOOKUP("資產總額",PKB!$B$1:$L$500,9,0)</f>
        <v>38767</v>
      </c>
      <c r="D24" s="92">
        <f>VLOOKUP("資產總額",PKB!$B$1:$L$500,8,0)</f>
        <v>38996</v>
      </c>
      <c r="E24" s="92">
        <f>VLOOKUP("資產總額",PKB!$B$1:$L$500,7,0)</f>
        <v>42057</v>
      </c>
      <c r="F24" s="92">
        <f>VLOOKUP("資產總額",PKB!$B$1:$L$500,6,0)</f>
        <v>45265</v>
      </c>
      <c r="G24" s="92">
        <f>VLOOKUP("資產總額",PKB!$B$1:$L$500,5,0)</f>
        <v>45973</v>
      </c>
      <c r="H24" s="92">
        <f>VLOOKUP("資產總額",PKB!$B$1:$L$500,4,0)</f>
        <v>45931</v>
      </c>
      <c r="I24" s="92">
        <f>VLOOKUP("資產總額",PKB!$B$1:$L$500,3,0)</f>
        <v>46667</v>
      </c>
      <c r="J24" s="92">
        <f>VLOOKUP("資產總額",PKB!$B$1:$L$500,2,0)</f>
        <v>44369</v>
      </c>
      <c r="K24" s="92"/>
      <c r="L24" s="92"/>
    </row>
    <row r="25" spans="1:12">
      <c r="A25" s="92">
        <v>2379</v>
      </c>
      <c r="B25" s="92" t="s">
        <v>18</v>
      </c>
      <c r="C25" s="92">
        <f>VLOOKUP("資產總額",PKC!$B$1:$L$500,9,0)</f>
        <v>33755</v>
      </c>
      <c r="D25" s="92">
        <f>VLOOKUP("資產總額",PKC!$B$1:$L$500,8,0)</f>
        <v>34129</v>
      </c>
      <c r="E25" s="92">
        <f>VLOOKUP("資產總額",PKC!$B$1:$L$500,7,0)</f>
        <v>36361</v>
      </c>
      <c r="F25" s="92">
        <f>VLOOKUP("資產總額",PKC!$B$1:$L$500,6,0)</f>
        <v>37989</v>
      </c>
      <c r="G25" s="92">
        <f>VLOOKUP("資產總額",PKC!$B$1:$L$500,5,0)</f>
        <v>42307</v>
      </c>
      <c r="H25" s="92">
        <f>VLOOKUP("資產總額",PKC!$B$1:$L$500,4,0)</f>
        <v>41075</v>
      </c>
      <c r="I25" s="92">
        <f>VLOOKUP("資產總額",PKC!$B$1:$L$500,3,0)</f>
        <v>45456</v>
      </c>
      <c r="J25" s="92">
        <f>VLOOKUP("資產總額",PKC!$B$1:$L$500,2,0)</f>
        <v>46156</v>
      </c>
      <c r="K25" s="92"/>
      <c r="L25" s="92"/>
    </row>
    <row r="26" spans="1:12">
      <c r="A26" s="93">
        <v>2454</v>
      </c>
      <c r="B26" s="93" t="s">
        <v>213</v>
      </c>
      <c r="C26" s="93">
        <f>VLOOKUP("來自營運之現金流量",PKA!$B$1:$L$500,9,0)</f>
        <v>9971</v>
      </c>
      <c r="D26" s="93">
        <f>VLOOKUP("來自營運之現金流量",PKA!$B$1:$L$500,8,0)</f>
        <v>16624</v>
      </c>
      <c r="E26" s="93">
        <f>VLOOKUP("來自營運之現金流量",PKA!$B$1:$L$500,7,0)</f>
        <v>9140</v>
      </c>
      <c r="F26" s="93">
        <f>VLOOKUP("來自營運之現金流量",PKA!$B$1:$L$500,6,0)</f>
        <v>13044</v>
      </c>
      <c r="G26" s="93">
        <f>VLOOKUP("來自營運之現金流量",PKA!$B$1:$L$500,5,0)</f>
        <v>11742</v>
      </c>
      <c r="H26" s="93">
        <f>VLOOKUP("來自營運之現金流量",PKA!$B$1:$L$500,4,0)</f>
        <v>10404</v>
      </c>
      <c r="I26" s="93">
        <f>VLOOKUP("來自營運之現金流量",PKA!$B$1:$L$500,3,0)</f>
        <v>6000</v>
      </c>
      <c r="J26" s="93">
        <f>VLOOKUP("來自營運之現金流量",PKA!$B$1:$L$500,2,0)</f>
        <v>-1446</v>
      </c>
      <c r="K26" s="93">
        <f>IF(ISNA(C28),MIN(C26:J27),MIN(C26:J28))</f>
        <v>-1446</v>
      </c>
      <c r="L26" s="93">
        <f>IF(ISNA(C28),MAX(C26:J27),MAX(C26:J28))</f>
        <v>16624</v>
      </c>
    </row>
    <row r="27" spans="1:12">
      <c r="A27" s="93">
        <v>3034</v>
      </c>
      <c r="B27" s="93" t="s">
        <v>214</v>
      </c>
      <c r="C27" s="93">
        <f>VLOOKUP("來自營運之現金流量",PKB!$B$1:$L$500,9,0)</f>
        <v>862</v>
      </c>
      <c r="D27" s="93">
        <f>VLOOKUP("來自營運之現金流量",PKB!$B$1:$L$500,8,0)</f>
        <v>1987</v>
      </c>
      <c r="E27" s="93">
        <f>VLOOKUP("來自營運之現金流量",PKB!$B$1:$L$500,7,0)</f>
        <v>1446</v>
      </c>
      <c r="F27" s="93">
        <f>VLOOKUP("來自營運之現金流量",PKB!$B$1:$L$500,6,0)</f>
        <v>-454</v>
      </c>
      <c r="G27" s="93">
        <f>VLOOKUP("來自營運之現金流量",PKB!$B$1:$L$500,5,0)</f>
        <v>1718</v>
      </c>
      <c r="H27" s="93">
        <f>VLOOKUP("來自營運之現金流量",PKB!$B$1:$L$500,4,0)</f>
        <v>3038</v>
      </c>
      <c r="I27" s="93">
        <f>VLOOKUP("來自營運之現金流量",PKB!$B$1:$L$500,3,0)</f>
        <v>2669</v>
      </c>
      <c r="J27" s="93">
        <f>VLOOKUP("來自營運之現金流量",PKB!$B$1:$L$500,2,0)</f>
        <v>566</v>
      </c>
      <c r="K27" s="93"/>
      <c r="L27" s="93"/>
    </row>
    <row r="28" spans="1:12">
      <c r="A28" s="93">
        <v>2379</v>
      </c>
      <c r="B28" s="93" t="s">
        <v>214</v>
      </c>
      <c r="C28" s="93">
        <f>VLOOKUP("來自營運之現金流量",PKC!$B$1:$L$500,9,0)</f>
        <v>1127</v>
      </c>
      <c r="D28" s="93">
        <f>VLOOKUP("來自營運之現金流量",PKC!$B$1:$L$500,8,0)</f>
        <v>1486</v>
      </c>
      <c r="E28" s="93">
        <f>VLOOKUP("來自營運之現金流量",PKC!$B$1:$L$500,7,0)</f>
        <v>1221</v>
      </c>
      <c r="F28" s="93">
        <f>VLOOKUP("來自營運之現金流量",PKC!$B$1:$L$500,6,0)</f>
        <v>1576</v>
      </c>
      <c r="G28" s="93">
        <f>VLOOKUP("來自營運之現金流量",PKC!$B$1:$L$500,5,0)</f>
        <v>1573</v>
      </c>
      <c r="H28" s="93">
        <f>VLOOKUP("來自營運之現金流量",PKC!$B$1:$L$500,4,0)</f>
        <v>1520</v>
      </c>
      <c r="I28" s="93">
        <f>VLOOKUP("來自營運之現金流量",PKC!$B$1:$L$500,3,0)</f>
        <v>-137</v>
      </c>
      <c r="J28" s="93">
        <f>VLOOKUP("來自營運之現金流量",PKC!$B$1:$L$500,2,0)</f>
        <v>233</v>
      </c>
      <c r="K28" s="93"/>
      <c r="L28" s="93"/>
    </row>
    <row r="29" spans="1:12">
      <c r="A29" s="94">
        <v>2454</v>
      </c>
      <c r="B29" s="94" t="s">
        <v>134</v>
      </c>
      <c r="C29" s="94">
        <f>VLOOKUP("投資活動之現金流量",PKA!$B$1:$L$500,9,0)</f>
        <v>-374</v>
      </c>
      <c r="D29" s="94">
        <f>VLOOKUP("投資活動之現金流量",PKA!$B$1:$L$500,8,0)</f>
        <v>-1164</v>
      </c>
      <c r="E29" s="94">
        <f>VLOOKUP("投資活動之現金流量",PKA!$B$1:$L$500,7,0)</f>
        <v>31182</v>
      </c>
      <c r="F29" s="94">
        <f>VLOOKUP("投資活動之現金流量",PKA!$B$1:$L$500,6,0)</f>
        <v>22</v>
      </c>
      <c r="G29" s="94">
        <f>VLOOKUP("投資活動之現金流量",PKA!$B$1:$L$500,5,0)</f>
        <v>-4690</v>
      </c>
      <c r="H29" s="94">
        <f>VLOOKUP("投資活動之現金流量",PKA!$B$1:$L$500,4,0)</f>
        <v>-8712</v>
      </c>
      <c r="I29" s="94">
        <f>VLOOKUP("投資活動之現金流量",PKA!$B$1:$L$500,3,0)</f>
        <v>-6955</v>
      </c>
      <c r="J29" s="94">
        <f>VLOOKUP("投資活動之現金流量",PKA!$B$1:$L$500,2,0)</f>
        <v>-5181</v>
      </c>
      <c r="K29" s="94"/>
      <c r="L29" s="94"/>
    </row>
    <row r="30" spans="1:12">
      <c r="A30" s="94">
        <v>3034</v>
      </c>
      <c r="B30" s="94" t="s">
        <v>134</v>
      </c>
      <c r="C30" s="94">
        <f>VLOOKUP("投資活動之現金流量",PKB!$B$1:$L$500,9,0)</f>
        <v>-150</v>
      </c>
      <c r="D30" s="94">
        <f>VLOOKUP("投資活動之現金流量",PKB!$B$1:$L$500,8,0)</f>
        <v>-70</v>
      </c>
      <c r="E30" s="94">
        <f>VLOOKUP("投資活動之現金流量",PKB!$B$1:$L$500,7,0)</f>
        <v>-34</v>
      </c>
      <c r="F30" s="94">
        <f>VLOOKUP("投資活動之現金流量",PKB!$B$1:$L$500,6,0)</f>
        <v>-64</v>
      </c>
      <c r="G30" s="94">
        <f>VLOOKUP("投資活動之現金流量",PKB!$B$1:$L$500,5,0)</f>
        <v>-89</v>
      </c>
      <c r="H30" s="94">
        <f>VLOOKUP("投資活動之現金流量",PKB!$B$1:$L$500,4,0)</f>
        <v>-157</v>
      </c>
      <c r="I30" s="94">
        <f>VLOOKUP("投資活動之現金流量",PKB!$B$1:$L$500,3,0)</f>
        <v>-182</v>
      </c>
      <c r="J30" s="94">
        <f>VLOOKUP("投資活動之現金流量",PKB!$B$1:$L$500,2,0)</f>
        <v>-658</v>
      </c>
      <c r="K30" s="94"/>
      <c r="L30" s="94"/>
    </row>
    <row r="31" spans="1:12">
      <c r="A31" s="94">
        <v>2379</v>
      </c>
      <c r="B31" s="94" t="s">
        <v>134</v>
      </c>
      <c r="C31" s="94">
        <f>VLOOKUP("投資活動之現金流量",PKC!$B$1:$L$500,9,0)</f>
        <v>-1654</v>
      </c>
      <c r="D31" s="94">
        <f>VLOOKUP("投資活動之現金流量",PKC!$B$1:$L$500,8,0)</f>
        <v>-192</v>
      </c>
      <c r="E31" s="94">
        <f>VLOOKUP("投資活動之現金流量",PKC!$B$1:$L$500,7,0)</f>
        <v>608</v>
      </c>
      <c r="F31" s="94">
        <f>VLOOKUP("投資活動之現金流量",PKC!$B$1:$L$500,6,0)</f>
        <v>-2938</v>
      </c>
      <c r="G31" s="94">
        <f>VLOOKUP("投資活動之現金流量",PKC!$B$1:$L$500,5,0)</f>
        <v>1237</v>
      </c>
      <c r="H31" s="94">
        <f>VLOOKUP("投資活動之現金流量",PKC!$B$1:$L$500,4,0)</f>
        <v>703</v>
      </c>
      <c r="I31" s="94">
        <f>VLOOKUP("投資活動之現金流量",PKC!$B$1:$L$500,3,0)</f>
        <v>-1043</v>
      </c>
      <c r="J31" s="94">
        <f>VLOOKUP("投資活動之現金流量",PKC!$B$1:$L$500,2,0)</f>
        <v>-2251</v>
      </c>
      <c r="K31" s="94"/>
      <c r="L31" s="94"/>
    </row>
    <row r="32" spans="1:12">
      <c r="A32" s="90">
        <v>2454</v>
      </c>
      <c r="B32" s="90" t="s">
        <v>20</v>
      </c>
      <c r="C32" s="90">
        <f>VLOOKUP(" 固定資產(購置)",PKA!$B$1:$L$500,9,0)</f>
        <v>-400</v>
      </c>
      <c r="D32" s="90">
        <f>VLOOKUP(" 固定資產(購置)",PKA!$B$1:$L$500,8,0)</f>
        <v>-380</v>
      </c>
      <c r="E32" s="90">
        <f>VLOOKUP(" 固定資產(購置)",PKA!$B$1:$L$500,7,0)</f>
        <v>-603</v>
      </c>
      <c r="F32" s="90">
        <f>VLOOKUP(" 固定資產(購置)",PKA!$B$1:$L$500,6,0)</f>
        <v>-687</v>
      </c>
      <c r="G32" s="90">
        <f>VLOOKUP(" 固定資產(購置)",PKA!$B$1:$L$500,5,0)</f>
        <v>-1784</v>
      </c>
      <c r="H32" s="90">
        <f>VLOOKUP(" 固定資產(購置)",PKA!$B$1:$L$500,4,0)</f>
        <v>-6754</v>
      </c>
      <c r="I32" s="90">
        <f>VLOOKUP(" 固定資產(購置)",PKA!$B$1:$L$500,3,0)</f>
        <v>-4511</v>
      </c>
      <c r="J32" s="90">
        <f>VLOOKUP(" 固定資產(購置)",PKA!$B$1:$L$500,2,0)</f>
        <v>-1466</v>
      </c>
      <c r="K32" s="90"/>
      <c r="L32" s="90"/>
    </row>
    <row r="33" spans="1:12">
      <c r="A33" s="90">
        <v>3034</v>
      </c>
      <c r="B33" s="90" t="s">
        <v>20</v>
      </c>
      <c r="C33" s="90">
        <f>VLOOKUP(" 固定資產(購置)",PKB!$B$1:$L$500,9,0)</f>
        <v>-69</v>
      </c>
      <c r="D33" s="90">
        <f>VLOOKUP(" 固定資產(購置)",PKB!$B$1:$L$500,8,0)</f>
        <v>-66</v>
      </c>
      <c r="E33" s="90">
        <f>VLOOKUP(" 固定資產(購置)",PKB!$B$1:$L$500,7,0)</f>
        <v>-16</v>
      </c>
      <c r="F33" s="90">
        <f>VLOOKUP(" 固定資產(購置)",PKB!$B$1:$L$500,6,0)</f>
        <v>-26</v>
      </c>
      <c r="G33" s="90">
        <f>VLOOKUP(" 固定資產(購置)",PKB!$B$1:$L$500,5,0)</f>
        <v>-75</v>
      </c>
      <c r="H33" s="90">
        <f>VLOOKUP(" 固定資產(購置)",PKB!$B$1:$L$500,4,0)</f>
        <v>-52</v>
      </c>
      <c r="I33" s="90">
        <f>VLOOKUP(" 固定資產(購置)",PKB!$B$1:$L$500,3,0)</f>
        <v>-28</v>
      </c>
      <c r="J33" s="90">
        <f>VLOOKUP(" 固定資產(購置)",PKB!$B$1:$L$500,2,0)</f>
        <v>-651</v>
      </c>
      <c r="K33" s="90"/>
      <c r="L33" s="90"/>
    </row>
    <row r="34" spans="1:12">
      <c r="A34" s="90">
        <v>2379</v>
      </c>
      <c r="B34" s="90" t="s">
        <v>20</v>
      </c>
      <c r="C34" s="90">
        <f>VLOOKUP(" 固定資產(購置)",PKC!$B$1:$L$500,9,0)</f>
        <v>-46</v>
      </c>
      <c r="D34" s="90">
        <f>VLOOKUP(" 固定資產(購置)",PKC!$B$1:$L$500,8,0)</f>
        <v>-141</v>
      </c>
      <c r="E34" s="90">
        <f>VLOOKUP(" 固定資產(購置)",PKC!$B$1:$L$500,7,0)</f>
        <v>-733</v>
      </c>
      <c r="F34" s="90">
        <f>VLOOKUP(" 固定資產(購置)",PKC!$B$1:$L$500,6,0)</f>
        <v>-49</v>
      </c>
      <c r="G34" s="90">
        <f>VLOOKUP(" 固定資產(購置)",PKC!$B$1:$L$500,5,0)</f>
        <v>-38</v>
      </c>
      <c r="H34" s="90">
        <f>VLOOKUP(" 固定資產(購置)",PKC!$B$1:$L$500,4,0)</f>
        <v>-4</v>
      </c>
      <c r="I34" s="90">
        <f>VLOOKUP(" 固定資產(購置)",PKC!$B$1:$L$500,3,0)</f>
        <v>-108</v>
      </c>
      <c r="J34" s="90">
        <f>VLOOKUP(" 固定資產(購置)",PKC!$B$1:$L$500,2,0)</f>
        <v>-159</v>
      </c>
      <c r="K34" s="90"/>
      <c r="L34" s="90"/>
    </row>
    <row r="35" spans="1:12">
      <c r="A35" s="91">
        <v>2454</v>
      </c>
      <c r="B35" s="91" t="s">
        <v>21</v>
      </c>
      <c r="C35" s="91">
        <f>VLOOKUP(" 長期投資(新增)",PKA!$B$1:$L$500,9,0)</f>
        <v>11</v>
      </c>
      <c r="D35" s="91">
        <f>VLOOKUP(" 長期投資(新增)",PKA!$B$1:$L$500,8,0)</f>
        <v>-23</v>
      </c>
      <c r="E35" s="91">
        <f>VLOOKUP(" 長期投資(新增)",PKA!$B$1:$L$500,7,0)</f>
        <v>-76</v>
      </c>
      <c r="F35" s="91">
        <f>VLOOKUP(" 長期投資(新增)",PKA!$B$1:$L$500,6,0)</f>
        <v>-49</v>
      </c>
      <c r="G35" s="91">
        <f>VLOOKUP(" 長期投資(新增)",PKA!$B$1:$L$500,5,0)</f>
        <v>-77</v>
      </c>
      <c r="H35" s="91">
        <f>VLOOKUP(" 長期投資(新增)",PKA!$B$1:$L$500,4,0)</f>
        <v>-2</v>
      </c>
      <c r="I35" s="91">
        <f>VLOOKUP(" 長期投資(新增)",PKA!$B$1:$L$500,3,0)</f>
        <v>-40</v>
      </c>
      <c r="J35" s="91">
        <f>VLOOKUP(" 長期投資(新增)",PKA!$B$1:$L$500,2,0)</f>
        <v>-245</v>
      </c>
      <c r="K35" s="91"/>
      <c r="L35" s="91"/>
    </row>
    <row r="36" spans="1:12">
      <c r="A36" s="91">
        <v>3034</v>
      </c>
      <c r="B36" s="91" t="s">
        <v>21</v>
      </c>
      <c r="C36" s="91">
        <f>VLOOKUP(" 長期投資(新增)",PKB!$B$1:$L$500,9,0)</f>
        <v>0</v>
      </c>
      <c r="D36" s="91">
        <f>VLOOKUP(" 長期投資(新增)",PKB!$B$1:$L$500,8,0)</f>
        <v>0</v>
      </c>
      <c r="E36" s="91">
        <f>VLOOKUP(" 長期投資(新增)",PKB!$B$1:$L$500,7,0)</f>
        <v>0</v>
      </c>
      <c r="F36" s="91">
        <f>VLOOKUP(" 長期投資(新增)",PKB!$B$1:$L$500,6,0)</f>
        <v>0</v>
      </c>
      <c r="G36" s="91">
        <f>VLOOKUP(" 長期投資(新增)",PKB!$B$1:$L$500,5,0)</f>
        <v>0</v>
      </c>
      <c r="H36" s="91">
        <f>VLOOKUP(" 長期投資(新增)",PKB!$B$1:$L$500,4,0)</f>
        <v>0</v>
      </c>
      <c r="I36" s="91">
        <f>VLOOKUP(" 長期投資(新增)",PKB!$B$1:$L$500,3,0)</f>
        <v>0</v>
      </c>
      <c r="J36" s="91">
        <f>VLOOKUP(" 長期投資(新增)",PKB!$B$1:$L$500,2,0)</f>
        <v>0</v>
      </c>
      <c r="K36" s="91"/>
      <c r="L36" s="91"/>
    </row>
    <row r="37" spans="1:12">
      <c r="A37" s="91">
        <v>2379</v>
      </c>
      <c r="B37" s="91" t="s">
        <v>21</v>
      </c>
      <c r="C37" s="91">
        <f>VLOOKUP(" 長期投資(新增)",PKC!$B$1:$L$500,9,0)</f>
        <v>0</v>
      </c>
      <c r="D37" s="91">
        <f>VLOOKUP(" 長期投資(新增)",PKC!$B$1:$L$500,8,0)</f>
        <v>0</v>
      </c>
      <c r="E37" s="91">
        <f>VLOOKUP(" 長期投資(新增)",PKC!$B$1:$L$500,7,0)</f>
        <v>-40</v>
      </c>
      <c r="F37" s="91">
        <f>VLOOKUP(" 長期投資(新增)",PKC!$B$1:$L$500,6,0)</f>
        <v>0</v>
      </c>
      <c r="G37" s="91">
        <f>VLOOKUP(" 長期投資(新增)",PKC!$B$1:$L$500,5,0)</f>
        <v>-60</v>
      </c>
      <c r="H37" s="91">
        <f>VLOOKUP(" 長期投資(新增)",PKC!$B$1:$L$500,4,0)</f>
        <v>0</v>
      </c>
      <c r="I37" s="91">
        <f>VLOOKUP(" 長期投資(新增)",PKC!$B$1:$L$500,3,0)</f>
        <v>0</v>
      </c>
      <c r="J37" s="91">
        <f>VLOOKUP(" 長期投資(新增)",PKC!$B$1:$L$500,2,0)</f>
        <v>-200</v>
      </c>
      <c r="K37" s="91"/>
      <c r="L37" s="91"/>
    </row>
    <row r="38" spans="1:12">
      <c r="A38" s="92">
        <v>2454</v>
      </c>
      <c r="B38" s="92" t="s">
        <v>117</v>
      </c>
      <c r="C38" s="92">
        <f>VLOOKUP(" 折舊",PKA!$B$1:$L$500,9,0)</f>
        <v>301</v>
      </c>
      <c r="D38" s="92">
        <f>VLOOKUP(" 折舊",PKA!$B$1:$L$500,8,0)</f>
        <v>272</v>
      </c>
      <c r="E38" s="92">
        <f>VLOOKUP(" 折舊",PKA!$B$1:$L$500,7,0)</f>
        <v>304</v>
      </c>
      <c r="F38" s="92">
        <f>VLOOKUP(" 折舊",PKA!$B$1:$L$500,6,0)</f>
        <v>304</v>
      </c>
      <c r="G38" s="92">
        <f>VLOOKUP(" 折舊",PKA!$B$1:$L$500,5,0)</f>
        <v>351</v>
      </c>
      <c r="H38" s="92">
        <f>VLOOKUP(" 折舊",PKA!$B$1:$L$500,4,0)</f>
        <v>354</v>
      </c>
      <c r="I38" s="92">
        <f>VLOOKUP(" 折舊",PKA!$B$1:$L$500,3,0)</f>
        <v>414</v>
      </c>
      <c r="J38" s="92">
        <f>VLOOKUP(" 折舊",PKA!$B$1:$L$500,2,0)</f>
        <v>422</v>
      </c>
      <c r="K38" s="92"/>
      <c r="L38" s="92"/>
    </row>
    <row r="39" spans="1:12">
      <c r="A39" s="92">
        <v>3034</v>
      </c>
      <c r="B39" s="92" t="s">
        <v>117</v>
      </c>
      <c r="C39" s="92">
        <f>VLOOKUP(" 折舊",PKB!$B$1:$L$500,9,0)</f>
        <v>66</v>
      </c>
      <c r="D39" s="92">
        <f>VLOOKUP(" 折舊",PKB!$B$1:$L$500,8,0)</f>
        <v>66</v>
      </c>
      <c r="E39" s="92">
        <f>VLOOKUP(" 折舊",PKB!$B$1:$L$500,7,0)</f>
        <v>68</v>
      </c>
      <c r="F39" s="92">
        <f>VLOOKUP(" 折舊",PKB!$B$1:$L$500,6,0)</f>
        <v>66</v>
      </c>
      <c r="G39" s="92">
        <f>VLOOKUP(" 折舊",PKB!$B$1:$L$500,5,0)</f>
        <v>65</v>
      </c>
      <c r="H39" s="92">
        <f>VLOOKUP(" 折舊",PKB!$B$1:$L$500,4,0)</f>
        <v>65</v>
      </c>
      <c r="I39" s="92">
        <f>VLOOKUP(" 折舊",PKB!$B$1:$L$500,3,0)</f>
        <v>64</v>
      </c>
      <c r="J39" s="92">
        <f>VLOOKUP(" 折舊",PKB!$B$1:$L$500,2,0)</f>
        <v>62</v>
      </c>
      <c r="K39" s="92"/>
      <c r="L39" s="92"/>
    </row>
    <row r="40" spans="1:12">
      <c r="A40" s="92">
        <v>2379</v>
      </c>
      <c r="B40" s="92" t="s">
        <v>117</v>
      </c>
      <c r="C40" s="92">
        <f>VLOOKUP(" 折舊",PKC!$B$1:$L$500,9,0)</f>
        <v>141</v>
      </c>
      <c r="D40" s="92">
        <f>VLOOKUP(" 折舊",PKC!$B$1:$L$500,8,0)</f>
        <v>143</v>
      </c>
      <c r="E40" s="92">
        <f>VLOOKUP(" 折舊",PKC!$B$1:$L$500,7,0)</f>
        <v>148</v>
      </c>
      <c r="F40" s="92">
        <f>VLOOKUP(" 折舊",PKC!$B$1:$L$500,6,0)</f>
        <v>146</v>
      </c>
      <c r="G40" s="92">
        <f>VLOOKUP(" 折舊",PKC!$B$1:$L$500,5,0)</f>
        <v>143</v>
      </c>
      <c r="H40" s="92">
        <f>VLOOKUP(" 折舊",PKC!$B$1:$L$500,4,0)</f>
        <v>135</v>
      </c>
      <c r="I40" s="92">
        <f>VLOOKUP(" 折舊",PKC!$B$1:$L$500,3,0)</f>
        <v>136</v>
      </c>
      <c r="J40" s="92">
        <f>VLOOKUP(" 折舊",PKC!$B$1:$L$500,2,0)</f>
        <v>144</v>
      </c>
      <c r="K40" s="92"/>
      <c r="L40" s="92"/>
    </row>
    <row r="41" spans="1:12">
      <c r="A41" s="93">
        <v>2454</v>
      </c>
      <c r="B41" s="93" t="s">
        <v>215</v>
      </c>
      <c r="C41" s="93">
        <f>VLOOKUP("營業費用",PKA!$B$1:$L$500,9,0)</f>
        <v>9274</v>
      </c>
      <c r="D41" s="93">
        <f>VLOOKUP("營業費用",PKA!$B$1:$L$500,8,0)</f>
        <v>9787</v>
      </c>
      <c r="E41" s="93">
        <f>VLOOKUP("營業費用",PKA!$B$1:$L$500,7,0)</f>
        <v>11413</v>
      </c>
      <c r="F41" s="93">
        <f>VLOOKUP("營業費用",PKA!$B$1:$L$500,6,0)</f>
        <v>14063</v>
      </c>
      <c r="G41" s="93">
        <f>VLOOKUP("營業費用",PKA!$B$1:$L$500,5,0)</f>
        <v>14440</v>
      </c>
      <c r="H41" s="93">
        <f>VLOOKUP("營業費用",PKA!$B$1:$L$500,4,0)</f>
        <v>16711</v>
      </c>
      <c r="I41" s="93">
        <f>VLOOKUP("營業費用",PKA!$B$1:$L$500,3,0)</f>
        <v>14827</v>
      </c>
      <c r="J41" s="93">
        <f>VLOOKUP("營業費用",PKA!$B$1:$L$500,2,0)</f>
        <v>14730</v>
      </c>
      <c r="K41" s="93"/>
      <c r="L41" s="93"/>
    </row>
    <row r="42" spans="1:12">
      <c r="A42" s="93">
        <v>3034</v>
      </c>
      <c r="B42" s="93" t="s">
        <v>215</v>
      </c>
      <c r="C42" s="93">
        <f>VLOOKUP("營業費用",PKB!$B$1:$L$500,9,0)</f>
        <v>1559</v>
      </c>
      <c r="D42" s="93">
        <f>VLOOKUP("營業費用",PKB!$B$1:$L$500,8,0)</f>
        <v>1564</v>
      </c>
      <c r="E42" s="93">
        <f>VLOOKUP("營業費用",PKB!$B$1:$L$500,7,0)</f>
        <v>1582</v>
      </c>
      <c r="F42" s="93">
        <f>VLOOKUP("營業費用",PKB!$B$1:$L$500,6,0)</f>
        <v>1820</v>
      </c>
      <c r="G42" s="93">
        <f>VLOOKUP("營業費用",PKB!$B$1:$L$500,5,0)</f>
        <v>2033</v>
      </c>
      <c r="H42" s="93">
        <f>VLOOKUP("營業費用",PKB!$B$1:$L$500,4,0)</f>
        <v>2046</v>
      </c>
      <c r="I42" s="93">
        <f>VLOOKUP("營業費用",PKB!$B$1:$L$500,3,0)</f>
        <v>1780</v>
      </c>
      <c r="J42" s="93">
        <f>VLOOKUP("營業費用",PKB!$B$1:$L$500,2,0)</f>
        <v>1833</v>
      </c>
      <c r="K42" s="93"/>
      <c r="L42" s="93"/>
    </row>
    <row r="43" spans="1:12">
      <c r="A43" s="93">
        <v>2379</v>
      </c>
      <c r="B43" s="93" t="s">
        <v>215</v>
      </c>
      <c r="C43" s="93">
        <f>VLOOKUP("營業費用",PKC!$B$1:$L$500,9,0)</f>
        <v>2326</v>
      </c>
      <c r="D43" s="93">
        <f>VLOOKUP("營業費用",PKC!$B$1:$L$500,8,0)</f>
        <v>2665</v>
      </c>
      <c r="E43" s="93">
        <f>VLOOKUP("營業費用",PKC!$B$1:$L$500,7,0)</f>
        <v>2423</v>
      </c>
      <c r="F43" s="93">
        <f>VLOOKUP("營業費用",PKC!$B$1:$L$500,6,0)</f>
        <v>2720</v>
      </c>
      <c r="G43" s="93">
        <f>VLOOKUP("營業費用",PKC!$B$1:$L$500,5,0)</f>
        <v>2913</v>
      </c>
      <c r="H43" s="93">
        <f>VLOOKUP("營業費用",PKC!$B$1:$L$500,4,0)</f>
        <v>2778</v>
      </c>
      <c r="I43" s="93">
        <f>VLOOKUP("營業費用",PKC!$B$1:$L$500,3,0)</f>
        <v>2653</v>
      </c>
      <c r="J43" s="93">
        <f>VLOOKUP("營業費用",PKC!$B$1:$L$500,2,0)</f>
        <v>2716</v>
      </c>
      <c r="K43" s="93"/>
      <c r="L43" s="93"/>
    </row>
    <row r="44" spans="1:12">
      <c r="A44" s="95">
        <v>2454</v>
      </c>
      <c r="B44" s="95" t="s">
        <v>547</v>
      </c>
      <c r="C44" s="95">
        <f>VLOOKUP(" 普通股股本",PKA!$B$1:$L$500,9,0)</f>
        <v>13494</v>
      </c>
      <c r="D44" s="95">
        <f>VLOOKUP(" 普通股股本",PKA!$B$1:$L$500,8,0)</f>
        <v>13495</v>
      </c>
      <c r="E44" s="95">
        <f>VLOOKUP(" 普通股股本",PKA!$B$1:$L$500,7,0)</f>
        <v>15708</v>
      </c>
      <c r="F44" s="95">
        <f>VLOOKUP(" 普通股股本",PKA!$B$1:$L$500,6,0)</f>
        <v>15710</v>
      </c>
      <c r="G44" s="95">
        <f>VLOOKUP(" 普通股股本",PKA!$B$1:$L$500,5,0)</f>
        <v>15710</v>
      </c>
      <c r="H44" s="95">
        <f>VLOOKUP(" 普通股股本",PKA!$B$1:$L$500,4,0)</f>
        <v>15714</v>
      </c>
      <c r="I44" s="95">
        <f>VLOOKUP(" 普通股股本",PKA!$B$1:$L$500,3,0)</f>
        <v>15715</v>
      </c>
      <c r="J44" s="95">
        <f>VLOOKUP(" 普通股股本",PKA!$B$1:$L$500,2,0)</f>
        <v>15716</v>
      </c>
      <c r="K44" s="95"/>
      <c r="L44" s="95"/>
    </row>
    <row r="45" spans="1:12">
      <c r="A45" s="95">
        <v>3034</v>
      </c>
      <c r="B45" s="95" t="s">
        <v>547</v>
      </c>
      <c r="C45" s="95">
        <f>VLOOKUP(" 普通股股本",PKB!$B$1:$L$500,9,0)</f>
        <v>6082</v>
      </c>
      <c r="D45" s="95">
        <f>VLOOKUP(" 普通股股本",PKB!$B$1:$L$500,8,0)</f>
        <v>6085</v>
      </c>
      <c r="E45" s="95">
        <f>VLOOKUP(" 普通股股本",PKB!$B$1:$L$500,7,0)</f>
        <v>6085</v>
      </c>
      <c r="F45" s="95">
        <f>VLOOKUP(" 普通股股本",PKB!$B$1:$L$500,6,0)</f>
        <v>6085</v>
      </c>
      <c r="G45" s="95">
        <f>VLOOKUP(" 普通股股本",PKB!$B$1:$L$500,5,0)</f>
        <v>6085</v>
      </c>
      <c r="H45" s="95">
        <f>VLOOKUP(" 普通股股本",PKB!$B$1:$L$500,4,0)</f>
        <v>6085</v>
      </c>
      <c r="I45" s="95">
        <f>VLOOKUP(" 普通股股本",PKB!$B$1:$L$500,3,0)</f>
        <v>6085</v>
      </c>
      <c r="J45" s="95">
        <f>VLOOKUP(" 普通股股本",PKB!$B$1:$L$500,2,0)</f>
        <v>6085</v>
      </c>
      <c r="K45" s="95"/>
      <c r="L45" s="95"/>
    </row>
    <row r="46" spans="1:12">
      <c r="A46" s="95">
        <v>2379</v>
      </c>
      <c r="B46" s="95" t="s">
        <v>547</v>
      </c>
      <c r="C46" s="95">
        <f>VLOOKUP(" 普通股股本",PKC!$B$1:$L$500,9,0)</f>
        <v>5050</v>
      </c>
      <c r="D46" s="95">
        <f>VLOOKUP(" 普通股股本",PKC!$B$1:$L$500,8,0)</f>
        <v>5050</v>
      </c>
      <c r="E46" s="95">
        <f>VLOOKUP(" 普通股股本",PKC!$B$1:$L$500,7,0)</f>
        <v>5050</v>
      </c>
      <c r="F46" s="95">
        <f>VLOOKUP(" 普通股股本",PKC!$B$1:$L$500,6,0)</f>
        <v>5050</v>
      </c>
      <c r="G46" s="95">
        <f>VLOOKUP(" 普通股股本",PKC!$B$1:$L$500,5,0)</f>
        <v>5050</v>
      </c>
      <c r="H46" s="95">
        <f>VLOOKUP(" 普通股股本",PKC!$B$1:$L$500,4,0)</f>
        <v>5050</v>
      </c>
      <c r="I46" s="95">
        <f>VLOOKUP(" 普通股股本",PKC!$B$1:$L$500,3,0)</f>
        <v>5050</v>
      </c>
      <c r="J46" s="95">
        <f>VLOOKUP(" 普通股股本",PKC!$B$1:$L$500,2,0)</f>
        <v>5050</v>
      </c>
      <c r="K46" s="95"/>
      <c r="L46" s="95"/>
    </row>
    <row r="47" spans="1:12">
      <c r="A47" s="94">
        <v>2454</v>
      </c>
      <c r="B47" s="94" t="s">
        <v>25</v>
      </c>
      <c r="C47" s="96">
        <f>IF(ISNUMBER((C2-C5)/C2),(C2-C5)/C2,0)</f>
        <v>0.43942268252666122</v>
      </c>
      <c r="D47" s="96">
        <f t="shared" ref="D47:J47" si="0">IF(ISNUMBER((D2-D5)/D2),(D2-D5)/D2,0)</f>
        <v>0.45705814362530778</v>
      </c>
      <c r="E47" s="96">
        <f t="shared" si="0"/>
        <v>0.48312139984784264</v>
      </c>
      <c r="F47" s="96">
        <f t="shared" si="0"/>
        <v>0.49552029261263925</v>
      </c>
      <c r="G47" s="96">
        <f t="shared" si="0"/>
        <v>0.4912653118040089</v>
      </c>
      <c r="H47" s="96">
        <f t="shared" si="0"/>
        <v>0.47941500009016647</v>
      </c>
      <c r="I47" s="96">
        <f t="shared" si="0"/>
        <v>0.47328340626051835</v>
      </c>
      <c r="J47" s="96">
        <f t="shared" si="0"/>
        <v>0.45905960377518917</v>
      </c>
      <c r="K47" s="94">
        <f>MIN(C47:J49)</f>
        <v>0.27351555136663525</v>
      </c>
      <c r="L47" s="94">
        <f>MAX(C47:J49)</f>
        <v>0.49552029261263925</v>
      </c>
    </row>
    <row r="48" spans="1:12">
      <c r="A48" s="94">
        <v>3034</v>
      </c>
      <c r="B48" s="94" t="s">
        <v>25</v>
      </c>
      <c r="C48" s="96">
        <f>IF(ISNUMBER((C3-C6)/C3),(C3-C6)/C3,0)</f>
        <v>0.27974276527331188</v>
      </c>
      <c r="D48" s="96">
        <f t="shared" ref="D48:J49" si="1">IF(ISNUMBER((D3-D6)/D3),(D3-D6)/D3,0)</f>
        <v>0.27351555136663525</v>
      </c>
      <c r="E48" s="96">
        <f t="shared" si="1"/>
        <v>0.28046823373926177</v>
      </c>
      <c r="F48" s="96">
        <f t="shared" si="1"/>
        <v>0.28854238324543302</v>
      </c>
      <c r="G48" s="96">
        <f t="shared" si="1"/>
        <v>0.28366705928543384</v>
      </c>
      <c r="H48" s="96">
        <f t="shared" si="1"/>
        <v>0.28506188364550927</v>
      </c>
      <c r="I48" s="96">
        <f t="shared" si="1"/>
        <v>0.29122696487635846</v>
      </c>
      <c r="J48" s="96">
        <f t="shared" si="1"/>
        <v>0.28042710340398203</v>
      </c>
      <c r="K48" s="94"/>
      <c r="L48" s="94"/>
    </row>
    <row r="49" spans="1:12">
      <c r="A49" s="94">
        <v>2379</v>
      </c>
      <c r="B49" s="94" t="s">
        <v>25</v>
      </c>
      <c r="C49" s="96">
        <f>IF(ISNUMBER((C4-C7)/C4),(C4-C7)/C4,0)</f>
        <v>0.42273930611676186</v>
      </c>
      <c r="D49" s="96">
        <f t="shared" si="1"/>
        <v>0.42859099000410789</v>
      </c>
      <c r="E49" s="96">
        <f t="shared" si="1"/>
        <v>0.43857493857493857</v>
      </c>
      <c r="F49" s="96">
        <f t="shared" si="1"/>
        <v>0.4487925696594427</v>
      </c>
      <c r="G49" s="96">
        <f t="shared" si="1"/>
        <v>0.43530120481927709</v>
      </c>
      <c r="H49" s="96">
        <f t="shared" si="1"/>
        <v>0.42330071409679981</v>
      </c>
      <c r="I49" s="96">
        <f t="shared" si="1"/>
        <v>0.4414450711791566</v>
      </c>
      <c r="J49" s="96">
        <f t="shared" si="1"/>
        <v>0.41703973139339673</v>
      </c>
      <c r="K49" s="94"/>
      <c r="L49" s="94"/>
    </row>
    <row r="50" spans="1:12">
      <c r="A50" s="90">
        <v>2454</v>
      </c>
      <c r="B50" s="90" t="s">
        <v>216</v>
      </c>
      <c r="C50" s="97">
        <f t="shared" ref="C50:C55" si="2">D50</f>
        <v>21.423045756068145</v>
      </c>
      <c r="D50" s="97">
        <f t="shared" ref="D50:D55" si="3">IF(ISNUMBER(365/(D2*4/((C14+D14)/2))),365/(D2*4/((C14+D14)/2)),0)</f>
        <v>21.423045756068145</v>
      </c>
      <c r="E50" s="97">
        <f t="shared" ref="E50:J50" si="4">IF(ISNUMBER(365/(E2*4/((D14+E14)/2))),365/(E2*4/((D14+E14)/2)),0)</f>
        <v>21.024888599065317</v>
      </c>
      <c r="F50" s="97">
        <f t="shared" si="4"/>
        <v>22.381391664973307</v>
      </c>
      <c r="G50" s="97">
        <f t="shared" si="4"/>
        <v>22.546555279092431</v>
      </c>
      <c r="H50" s="97">
        <f t="shared" si="4"/>
        <v>23.012844210412421</v>
      </c>
      <c r="I50" s="97">
        <f t="shared" si="4"/>
        <v>24.857831433019186</v>
      </c>
      <c r="J50" s="97">
        <f t="shared" si="4"/>
        <v>24.82491125329479</v>
      </c>
      <c r="K50" s="90">
        <f>MIN(C50:J52)</f>
        <v>21.024888599065317</v>
      </c>
      <c r="L50" s="90">
        <f>MAX(C50:J52)</f>
        <v>94.013082768939981</v>
      </c>
    </row>
    <row r="51" spans="1:12">
      <c r="A51" s="90">
        <v>3034</v>
      </c>
      <c r="B51" s="90" t="s">
        <v>216</v>
      </c>
      <c r="C51" s="97">
        <f t="shared" si="2"/>
        <v>92.617459943449575</v>
      </c>
      <c r="D51" s="97">
        <f t="shared" si="3"/>
        <v>92.617459943449575</v>
      </c>
      <c r="E51" s="97">
        <f t="shared" ref="E51:J55" si="5">IF(ISNUMBER(365/(E3*4/((D15+E15)/2))),365/(E3*4/((D15+E15)/2)),0)</f>
        <v>93.735190691966395</v>
      </c>
      <c r="F51" s="97">
        <f t="shared" si="5"/>
        <v>81.366850110830839</v>
      </c>
      <c r="G51" s="97">
        <f t="shared" si="5"/>
        <v>80.561772019369187</v>
      </c>
      <c r="H51" s="97">
        <f t="shared" si="5"/>
        <v>86.783829174664106</v>
      </c>
      <c r="I51" s="97">
        <f t="shared" si="5"/>
        <v>94.013082768939981</v>
      </c>
      <c r="J51" s="97">
        <f t="shared" si="5"/>
        <v>84.777667389210023</v>
      </c>
      <c r="K51" s="90"/>
      <c r="L51" s="90">
        <f>AVERAGE(F51:J51)</f>
        <v>85.500640292602824</v>
      </c>
    </row>
    <row r="52" spans="1:12">
      <c r="A52" s="90">
        <v>2379</v>
      </c>
      <c r="B52" s="90" t="s">
        <v>216</v>
      </c>
      <c r="C52" s="97">
        <f t="shared" si="2"/>
        <v>48.792448308914146</v>
      </c>
      <c r="D52" s="97">
        <f t="shared" si="3"/>
        <v>48.792448308914146</v>
      </c>
      <c r="E52" s="97">
        <f t="shared" si="5"/>
        <v>46.963981026481022</v>
      </c>
      <c r="F52" s="97">
        <f t="shared" si="5"/>
        <v>43.63614551083591</v>
      </c>
      <c r="G52" s="97">
        <f t="shared" si="5"/>
        <v>48.461445783132525</v>
      </c>
      <c r="H52" s="97">
        <f t="shared" si="5"/>
        <v>49.745850965353085</v>
      </c>
      <c r="I52" s="97">
        <f t="shared" si="5"/>
        <v>41.280637254901961</v>
      </c>
      <c r="J52" s="97">
        <f t="shared" si="5"/>
        <v>39.618687045327363</v>
      </c>
      <c r="K52" s="90"/>
      <c r="L52" s="90">
        <f>AVERAGE(F52:J52)</f>
        <v>44.548553311910169</v>
      </c>
    </row>
    <row r="53" spans="1:12">
      <c r="A53" s="91">
        <v>2454</v>
      </c>
      <c r="B53" s="91" t="s">
        <v>217</v>
      </c>
      <c r="C53" s="98">
        <f t="shared" si="2"/>
        <v>47.054476351351354</v>
      </c>
      <c r="D53" s="98">
        <f t="shared" si="3"/>
        <v>47.054476351351354</v>
      </c>
      <c r="E53" s="98">
        <f t="shared" si="5"/>
        <v>49.878779595441351</v>
      </c>
      <c r="F53" s="98">
        <f t="shared" si="5"/>
        <v>60.103239774433341</v>
      </c>
      <c r="G53" s="98">
        <f t="shared" si="5"/>
        <v>68.33294856009303</v>
      </c>
      <c r="H53" s="98">
        <f t="shared" si="5"/>
        <v>73.973885444090342</v>
      </c>
      <c r="I53" s="98">
        <f t="shared" si="5"/>
        <v>91.887780573528246</v>
      </c>
      <c r="J53" s="98">
        <f t="shared" si="5"/>
        <v>110.69010825998114</v>
      </c>
      <c r="K53" s="91">
        <f>MIN(C53:J55)</f>
        <v>47.054476351351354</v>
      </c>
      <c r="L53" s="91">
        <f>MAX(C53:J55)</f>
        <v>110.69010825998114</v>
      </c>
    </row>
    <row r="54" spans="1:12">
      <c r="A54" s="91">
        <v>3034</v>
      </c>
      <c r="B54" s="91" t="s">
        <v>217</v>
      </c>
      <c r="C54" s="98">
        <f t="shared" si="2"/>
        <v>56.753048780487802</v>
      </c>
      <c r="D54" s="98">
        <f t="shared" si="3"/>
        <v>56.753048780487802</v>
      </c>
      <c r="E54" s="98">
        <f t="shared" si="5"/>
        <v>58.865947257937549</v>
      </c>
      <c r="F54" s="98">
        <f t="shared" si="5"/>
        <v>58.212559088955736</v>
      </c>
      <c r="G54" s="98">
        <f t="shared" si="5"/>
        <v>54.514935598794189</v>
      </c>
      <c r="H54" s="98">
        <f t="shared" si="5"/>
        <v>54.216117385669321</v>
      </c>
      <c r="I54" s="98">
        <f t="shared" si="5"/>
        <v>66.612499999999997</v>
      </c>
      <c r="J54" s="98">
        <f t="shared" si="5"/>
        <v>67.59504351221689</v>
      </c>
      <c r="K54" s="91"/>
      <c r="L54" s="91">
        <f>AVERAGE(F54:J54)</f>
        <v>60.230231117127218</v>
      </c>
    </row>
    <row r="55" spans="1:12">
      <c r="A55" s="91">
        <v>2379</v>
      </c>
      <c r="B55" s="91" t="s">
        <v>217</v>
      </c>
      <c r="C55" s="98">
        <f t="shared" si="2"/>
        <v>66.190690150970525</v>
      </c>
      <c r="D55" s="98">
        <f t="shared" si="3"/>
        <v>66.190690150970525</v>
      </c>
      <c r="E55" s="98">
        <f t="shared" si="5"/>
        <v>63.628738147337707</v>
      </c>
      <c r="F55" s="98">
        <f t="shared" si="5"/>
        <v>59.59643900247135</v>
      </c>
      <c r="G55" s="98">
        <f t="shared" si="5"/>
        <v>56.926605504587151</v>
      </c>
      <c r="H55" s="98">
        <f t="shared" si="5"/>
        <v>71.780124971336861</v>
      </c>
      <c r="I55" s="98">
        <f t="shared" si="5"/>
        <v>89.549621303197881</v>
      </c>
      <c r="J55" s="98">
        <f t="shared" si="5"/>
        <v>102.79037676985841</v>
      </c>
      <c r="K55" s="91"/>
      <c r="L55" s="91">
        <f>AVERAGE(F55:J55)</f>
        <v>76.128633510290342</v>
      </c>
    </row>
    <row r="56" spans="1:12">
      <c r="A56" s="92">
        <v>2454</v>
      </c>
      <c r="B56" s="92" t="s">
        <v>218</v>
      </c>
      <c r="C56" s="99">
        <f t="shared" ref="C56:J56" si="6">C20/C23</f>
        <v>0.2229056025525305</v>
      </c>
      <c r="D56" s="99">
        <f t="shared" si="6"/>
        <v>0.24467883558810224</v>
      </c>
      <c r="E56" s="99">
        <f t="shared" si="6"/>
        <v>0.23495777827649619</v>
      </c>
      <c r="F56" s="99">
        <f t="shared" si="6"/>
        <v>0.33823570279475201</v>
      </c>
      <c r="G56" s="99">
        <f t="shared" si="6"/>
        <v>0.31068123420167543</v>
      </c>
      <c r="H56" s="99">
        <f t="shared" si="6"/>
        <v>0.29480888245865361</v>
      </c>
      <c r="I56" s="99">
        <f t="shared" si="6"/>
        <v>0.30292386088161083</v>
      </c>
      <c r="J56" s="99">
        <f t="shared" si="6"/>
        <v>0.39293398500087517</v>
      </c>
      <c r="K56" s="92">
        <f>MIN(C56:J58)</f>
        <v>0.2229056025525305</v>
      </c>
      <c r="L56" s="92">
        <f>MAX(C56:J58)</f>
        <v>0.57279660282520151</v>
      </c>
    </row>
    <row r="57" spans="1:12">
      <c r="A57" s="92">
        <v>3034</v>
      </c>
      <c r="B57" s="92" t="s">
        <v>218</v>
      </c>
      <c r="C57" s="99">
        <f>IF(ISNUMBER(C21/C24),C21/C24,0)</f>
        <v>0.39631645471664045</v>
      </c>
      <c r="D57" s="99">
        <f t="shared" ref="D57:J57" si="7">D21/D24</f>
        <v>0.36870448251102678</v>
      </c>
      <c r="E57" s="99">
        <f t="shared" si="7"/>
        <v>0.38326556815750051</v>
      </c>
      <c r="F57" s="99">
        <f t="shared" si="7"/>
        <v>0.46826466364740971</v>
      </c>
      <c r="G57" s="99">
        <f t="shared" si="7"/>
        <v>0.43094860026537313</v>
      </c>
      <c r="H57" s="99">
        <f t="shared" si="7"/>
        <v>0.38544773682262523</v>
      </c>
      <c r="I57" s="99">
        <f t="shared" si="7"/>
        <v>0.35699745001821415</v>
      </c>
      <c r="J57" s="99">
        <f t="shared" si="7"/>
        <v>0.42782122653203813</v>
      </c>
      <c r="K57" s="92"/>
      <c r="L57" s="92"/>
    </row>
    <row r="58" spans="1:12">
      <c r="A58" s="92">
        <v>2379</v>
      </c>
      <c r="B58" s="92" t="s">
        <v>218</v>
      </c>
      <c r="C58" s="99">
        <f>IF(ISNUMBER(C22/C25),C22/C25,0)</f>
        <v>0.4472226336838987</v>
      </c>
      <c r="D58" s="99">
        <f t="shared" ref="D58:J58" si="8">IF(ISNUMBER(D22/D25),D22/D25,0)</f>
        <v>0.42793518708429779</v>
      </c>
      <c r="E58" s="99">
        <f t="shared" si="8"/>
        <v>0.43178130414455046</v>
      </c>
      <c r="F58" s="99">
        <f t="shared" si="8"/>
        <v>0.50185580036326305</v>
      </c>
      <c r="G58" s="99">
        <f t="shared" si="8"/>
        <v>0.51071926631526698</v>
      </c>
      <c r="H58" s="99">
        <f t="shared" si="8"/>
        <v>0.46178940961655507</v>
      </c>
      <c r="I58" s="99">
        <f t="shared" si="8"/>
        <v>0.50270591341077087</v>
      </c>
      <c r="J58" s="99">
        <f t="shared" si="8"/>
        <v>0.57279660282520151</v>
      </c>
      <c r="K58" s="92"/>
      <c r="L58" s="92"/>
    </row>
    <row r="59" spans="1:12">
      <c r="A59" s="93">
        <v>2454</v>
      </c>
      <c r="B59" s="93" t="s">
        <v>219</v>
      </c>
      <c r="C59" s="100">
        <f>IF(C8&gt;0,IF(C26&gt;C8,IF(ISNUMBER(C26/C8),C26/C8,0),0),0)</f>
        <v>1.183080208827717</v>
      </c>
      <c r="D59" s="100">
        <f t="shared" ref="D59:J59" si="9">IF(D8&gt;0,IF(D26&gt;D8,IF(ISNUMBER(D26/D8),D26/D8,0),0),0)</f>
        <v>1.9278673315551431</v>
      </c>
      <c r="E59" s="100">
        <f t="shared" si="9"/>
        <v>0</v>
      </c>
      <c r="F59" s="100">
        <f t="shared" si="9"/>
        <v>1.0387004300047777</v>
      </c>
      <c r="G59" s="100">
        <f t="shared" si="9"/>
        <v>0</v>
      </c>
      <c r="H59" s="100">
        <f t="shared" si="9"/>
        <v>1.001058404695468</v>
      </c>
      <c r="I59" s="100">
        <f t="shared" si="9"/>
        <v>0</v>
      </c>
      <c r="J59" s="100">
        <f t="shared" si="9"/>
        <v>0</v>
      </c>
      <c r="K59" s="93"/>
      <c r="L59" s="93">
        <f>AVERAGE(F59:J59)</f>
        <v>0.40795176694004914</v>
      </c>
    </row>
    <row r="60" spans="1:12">
      <c r="A60" s="93">
        <v>3034</v>
      </c>
      <c r="B60" s="93" t="s">
        <v>219</v>
      </c>
      <c r="C60" s="100">
        <f>IF(C9&gt;0,IF(C27&gt;C9,IF(ISNUMBER(C27/C9),C27/C9,0),0),0)</f>
        <v>0</v>
      </c>
      <c r="D60" s="100">
        <f t="shared" ref="D60:J61" si="10">IF(D9&gt;0,IF(D27&gt;D9,IF(ISNUMBER(D27/D9),D27/D9,0),0),0)</f>
        <v>1.6683459277917716</v>
      </c>
      <c r="E60" s="100">
        <f t="shared" si="10"/>
        <v>1.1412786108918707</v>
      </c>
      <c r="F60" s="100">
        <f t="shared" si="10"/>
        <v>0</v>
      </c>
      <c r="G60" s="100">
        <f t="shared" si="10"/>
        <v>0</v>
      </c>
      <c r="H60" s="100">
        <f t="shared" si="10"/>
        <v>1.4556780067081936</v>
      </c>
      <c r="I60" s="100">
        <f t="shared" si="10"/>
        <v>1.57</v>
      </c>
      <c r="J60" s="100">
        <f t="shared" si="10"/>
        <v>0</v>
      </c>
      <c r="K60" s="93"/>
      <c r="L60" s="93"/>
    </row>
    <row r="61" spans="1:12">
      <c r="A61" s="93">
        <v>2379</v>
      </c>
      <c r="B61" s="93" t="s">
        <v>219</v>
      </c>
      <c r="C61" s="100">
        <f>IF(C10&gt;0,IF(C28&gt;C10,IF(ISNUMBER(C28/C10),C28/C10,0),0),0)</f>
        <v>1.3627569528415961</v>
      </c>
      <c r="D61" s="100">
        <f t="shared" si="10"/>
        <v>2.1258941344778255</v>
      </c>
      <c r="E61" s="100">
        <f t="shared" si="10"/>
        <v>1.4890243902439024</v>
      </c>
      <c r="F61" s="100">
        <f t="shared" si="10"/>
        <v>1.554240631163708</v>
      </c>
      <c r="G61" s="100">
        <f t="shared" si="10"/>
        <v>1.0458776595744681</v>
      </c>
      <c r="H61" s="100">
        <f t="shared" si="10"/>
        <v>2.7387387387387387</v>
      </c>
      <c r="I61" s="100">
        <f t="shared" si="10"/>
        <v>0</v>
      </c>
      <c r="J61" s="100">
        <f t="shared" si="10"/>
        <v>0</v>
      </c>
      <c r="K61" s="93"/>
      <c r="L61" s="93"/>
    </row>
    <row r="62" spans="1:12">
      <c r="A62" s="94">
        <v>2454</v>
      </c>
      <c r="B62" s="94" t="s">
        <v>220</v>
      </c>
      <c r="C62" s="101">
        <f>C38/C5</f>
        <v>1.3765034069602597E-2</v>
      </c>
      <c r="D62" s="101">
        <f t="shared" ref="D62:J62" si="11">D38/D5</f>
        <v>1.2587930396149574E-2</v>
      </c>
      <c r="E62" s="101">
        <f t="shared" si="11"/>
        <v>1.2784389587451112E-2</v>
      </c>
      <c r="F62" s="101">
        <f t="shared" si="11"/>
        <v>1.1131861291149438E-2</v>
      </c>
      <c r="G62" s="101">
        <f t="shared" si="11"/>
        <v>1.2004925097475888E-2</v>
      </c>
      <c r="H62" s="101">
        <f t="shared" si="11"/>
        <v>1.2262713038658722E-2</v>
      </c>
      <c r="I62" s="101">
        <f t="shared" si="11"/>
        <v>1.6534867002156721E-2</v>
      </c>
      <c r="J62" s="101">
        <f t="shared" si="11"/>
        <v>1.6582835586293618E-2</v>
      </c>
      <c r="K62" s="94"/>
      <c r="L62" s="94"/>
    </row>
    <row r="63" spans="1:12">
      <c r="A63" s="94">
        <v>3034</v>
      </c>
      <c r="B63" s="94" t="s">
        <v>220</v>
      </c>
      <c r="C63" s="101">
        <f>C39/C6</f>
        <v>8.6659663865546223E-3</v>
      </c>
      <c r="D63" s="101">
        <f t="shared" ref="D63:J64" si="12">D39/D6</f>
        <v>8.5625324338349761E-3</v>
      </c>
      <c r="E63" s="101">
        <f t="shared" si="12"/>
        <v>8.9215429021254258E-3</v>
      </c>
      <c r="F63" s="101">
        <f t="shared" si="12"/>
        <v>7.0906746884400514E-3</v>
      </c>
      <c r="G63" s="101">
        <f t="shared" si="12"/>
        <v>5.9376998264364664E-3</v>
      </c>
      <c r="H63" s="101">
        <f t="shared" si="12"/>
        <v>6.017404184410294E-3</v>
      </c>
      <c r="I63" s="101">
        <f t="shared" si="12"/>
        <v>7.1111111111111115E-3</v>
      </c>
      <c r="J63" s="101">
        <f t="shared" si="12"/>
        <v>6.9173267879058349E-3</v>
      </c>
      <c r="K63" s="94"/>
      <c r="L63" s="94"/>
    </row>
    <row r="64" spans="1:12">
      <c r="A64" s="94">
        <v>2379</v>
      </c>
      <c r="B64" s="94" t="s">
        <v>220</v>
      </c>
      <c r="C64" s="101">
        <f>C40/C7</f>
        <v>3.403330919623461E-2</v>
      </c>
      <c r="D64" s="101">
        <f t="shared" si="12"/>
        <v>3.4267912772585667E-2</v>
      </c>
      <c r="E64" s="101">
        <f t="shared" si="12"/>
        <v>3.5983467055677121E-2</v>
      </c>
      <c r="F64" s="101">
        <f t="shared" si="12"/>
        <v>3.280161761401932E-2</v>
      </c>
      <c r="G64" s="101">
        <f t="shared" si="12"/>
        <v>3.0509921058246212E-2</v>
      </c>
      <c r="H64" s="101">
        <f t="shared" si="12"/>
        <v>3.0956202705801423E-2</v>
      </c>
      <c r="I64" s="101">
        <f t="shared" si="12"/>
        <v>3.2700168309689831E-2</v>
      </c>
      <c r="J64" s="101">
        <f t="shared" si="12"/>
        <v>3.4557235421166309E-2</v>
      </c>
      <c r="K64" s="94"/>
      <c r="L64" s="94"/>
    </row>
    <row r="65" spans="1:12">
      <c r="A65" s="90">
        <v>2454</v>
      </c>
      <c r="B65" s="90" t="s">
        <v>221</v>
      </c>
      <c r="C65" s="102">
        <f>C41/C2</f>
        <v>0.23774610336341262</v>
      </c>
      <c r="D65" s="102">
        <f t="shared" ref="D65:J65" si="13">D41/D2</f>
        <v>0.24591688024523845</v>
      </c>
      <c r="E65" s="102">
        <f t="shared" si="13"/>
        <v>0.24808173024671232</v>
      </c>
      <c r="F65" s="102">
        <f t="shared" si="13"/>
        <v>0.25978608242661594</v>
      </c>
      <c r="G65" s="102">
        <f t="shared" si="13"/>
        <v>0.25125278396436523</v>
      </c>
      <c r="H65" s="102">
        <f t="shared" si="13"/>
        <v>0.30135430003786989</v>
      </c>
      <c r="I65" s="102">
        <f t="shared" si="13"/>
        <v>0.31191097273645235</v>
      </c>
      <c r="J65" s="102">
        <f t="shared" si="13"/>
        <v>0.31311113000595187</v>
      </c>
      <c r="K65" s="90"/>
      <c r="L65" s="90"/>
    </row>
    <row r="66" spans="1:12">
      <c r="A66" s="90">
        <v>3034</v>
      </c>
      <c r="B66" s="90" t="s">
        <v>221</v>
      </c>
      <c r="C66" s="102">
        <f>C42/C3</f>
        <v>0.14743710989218839</v>
      </c>
      <c r="D66" s="102">
        <f t="shared" ref="D66:J67" si="14">D42/D3</f>
        <v>0.1474081055607917</v>
      </c>
      <c r="E66" s="102">
        <f t="shared" si="14"/>
        <v>0.14934390635325215</v>
      </c>
      <c r="F66" s="102">
        <f t="shared" si="14"/>
        <v>0.13911182450508294</v>
      </c>
      <c r="G66" s="102">
        <f t="shared" si="14"/>
        <v>0.1330323256118309</v>
      </c>
      <c r="H66" s="102">
        <f t="shared" si="14"/>
        <v>0.13541597723211332</v>
      </c>
      <c r="I66" s="102">
        <f t="shared" si="14"/>
        <v>0.14017955583556466</v>
      </c>
      <c r="J66" s="102">
        <f t="shared" si="14"/>
        <v>0.14715799614643546</v>
      </c>
      <c r="K66" s="90"/>
      <c r="L66" s="90"/>
    </row>
    <row r="67" spans="1:12">
      <c r="A67" s="90">
        <v>2379</v>
      </c>
      <c r="B67" s="90" t="s">
        <v>221</v>
      </c>
      <c r="C67" s="102">
        <f>C43/C4</f>
        <v>0.3240908457572802</v>
      </c>
      <c r="D67" s="102">
        <f t="shared" si="14"/>
        <v>0.36491852663289059</v>
      </c>
      <c r="E67" s="102">
        <f t="shared" si="14"/>
        <v>0.33073983073983076</v>
      </c>
      <c r="F67" s="102">
        <f t="shared" si="14"/>
        <v>0.33684210526315789</v>
      </c>
      <c r="G67" s="102">
        <f t="shared" si="14"/>
        <v>0.35096385542168673</v>
      </c>
      <c r="H67" s="102">
        <f t="shared" si="14"/>
        <v>0.36736313144670724</v>
      </c>
      <c r="I67" s="102">
        <f t="shared" si="14"/>
        <v>0.3562986838571045</v>
      </c>
      <c r="J67" s="102">
        <f t="shared" si="14"/>
        <v>0.37996642417459431</v>
      </c>
      <c r="K67" s="90"/>
      <c r="L67" s="90"/>
    </row>
    <row r="68" spans="1:12">
      <c r="A68" s="91">
        <v>2454</v>
      </c>
      <c r="B68" s="91" t="s">
        <v>549</v>
      </c>
      <c r="C68" s="103">
        <f t="shared" ref="C68:J70" si="15">ROUND((C2/C44)*10,2)</f>
        <v>28.91</v>
      </c>
      <c r="D68" s="103">
        <f t="shared" si="15"/>
        <v>29.49</v>
      </c>
      <c r="E68" s="103">
        <f t="shared" si="15"/>
        <v>29.29</v>
      </c>
      <c r="F68" s="103">
        <f t="shared" si="15"/>
        <v>34.46</v>
      </c>
      <c r="G68" s="103">
        <f t="shared" si="15"/>
        <v>36.58</v>
      </c>
      <c r="H68" s="103">
        <f t="shared" si="15"/>
        <v>35.29</v>
      </c>
      <c r="I68" s="103">
        <f t="shared" si="15"/>
        <v>30.25</v>
      </c>
      <c r="J68" s="103">
        <f t="shared" si="15"/>
        <v>29.93</v>
      </c>
      <c r="K68" s="91"/>
      <c r="L68" s="91"/>
    </row>
    <row r="69" spans="1:12">
      <c r="A69" s="91">
        <v>3034</v>
      </c>
      <c r="B69" s="91" t="s">
        <v>549</v>
      </c>
      <c r="C69" s="103">
        <f t="shared" si="15"/>
        <v>17.39</v>
      </c>
      <c r="D69" s="103">
        <f t="shared" si="15"/>
        <v>17.440000000000001</v>
      </c>
      <c r="E69" s="103">
        <f t="shared" si="15"/>
        <v>17.41</v>
      </c>
      <c r="F69" s="103">
        <f t="shared" si="15"/>
        <v>21.5</v>
      </c>
      <c r="G69" s="103">
        <f t="shared" si="15"/>
        <v>25.11</v>
      </c>
      <c r="H69" s="103">
        <f t="shared" si="15"/>
        <v>24.83</v>
      </c>
      <c r="I69" s="103">
        <f t="shared" si="15"/>
        <v>20.87</v>
      </c>
      <c r="J69" s="103">
        <f t="shared" si="15"/>
        <v>20.47</v>
      </c>
      <c r="K69" s="91"/>
      <c r="L69" s="91"/>
    </row>
    <row r="70" spans="1:12">
      <c r="A70" s="91">
        <v>2379</v>
      </c>
      <c r="B70" s="91" t="s">
        <v>549</v>
      </c>
      <c r="C70" s="91">
        <f t="shared" si="15"/>
        <v>14.21</v>
      </c>
      <c r="D70" s="91">
        <f t="shared" si="15"/>
        <v>14.46</v>
      </c>
      <c r="E70" s="91">
        <f t="shared" si="15"/>
        <v>14.51</v>
      </c>
      <c r="F70" s="91">
        <f t="shared" si="15"/>
        <v>15.99</v>
      </c>
      <c r="G70" s="91">
        <f t="shared" si="15"/>
        <v>16.440000000000001</v>
      </c>
      <c r="H70" s="91">
        <f t="shared" si="15"/>
        <v>14.97</v>
      </c>
      <c r="I70" s="91">
        <f t="shared" si="15"/>
        <v>14.74</v>
      </c>
      <c r="J70" s="91">
        <f t="shared" si="15"/>
        <v>14.15</v>
      </c>
      <c r="K70" s="91"/>
      <c r="L70" s="91"/>
    </row>
    <row r="71" spans="1:12">
      <c r="A71" s="104">
        <v>2454</v>
      </c>
      <c r="B71" s="104" t="s">
        <v>548</v>
      </c>
      <c r="C71" s="104">
        <f t="shared" ref="C71:J73" si="16">ROUND((C26/C44)*10,2)</f>
        <v>7.39</v>
      </c>
      <c r="D71" s="104">
        <f t="shared" si="16"/>
        <v>12.32</v>
      </c>
      <c r="E71" s="104">
        <f t="shared" si="16"/>
        <v>5.82</v>
      </c>
      <c r="F71" s="104">
        <f t="shared" si="16"/>
        <v>8.3000000000000007</v>
      </c>
      <c r="G71" s="104">
        <f t="shared" si="16"/>
        <v>7.47</v>
      </c>
      <c r="H71" s="104">
        <f t="shared" si="16"/>
        <v>6.62</v>
      </c>
      <c r="I71" s="104">
        <f t="shared" si="16"/>
        <v>3.82</v>
      </c>
      <c r="J71" s="104">
        <f t="shared" si="16"/>
        <v>-0.92</v>
      </c>
      <c r="K71" s="104"/>
      <c r="L71" s="104"/>
    </row>
    <row r="72" spans="1:12">
      <c r="A72" s="104">
        <v>3034</v>
      </c>
      <c r="B72" s="104" t="s">
        <v>548</v>
      </c>
      <c r="C72" s="104">
        <f t="shared" si="16"/>
        <v>1.42</v>
      </c>
      <c r="D72" s="104">
        <f t="shared" si="16"/>
        <v>3.27</v>
      </c>
      <c r="E72" s="104">
        <f t="shared" si="16"/>
        <v>2.38</v>
      </c>
      <c r="F72" s="104">
        <f t="shared" si="16"/>
        <v>-0.75</v>
      </c>
      <c r="G72" s="104">
        <f t="shared" si="16"/>
        <v>2.82</v>
      </c>
      <c r="H72" s="104">
        <f t="shared" si="16"/>
        <v>4.99</v>
      </c>
      <c r="I72" s="104">
        <f t="shared" si="16"/>
        <v>4.3899999999999997</v>
      </c>
      <c r="J72" s="104">
        <f t="shared" si="16"/>
        <v>0.93</v>
      </c>
      <c r="K72" s="104"/>
      <c r="L72" s="104"/>
    </row>
    <row r="73" spans="1:12">
      <c r="A73" s="104">
        <v>2379</v>
      </c>
      <c r="B73" s="104" t="s">
        <v>548</v>
      </c>
      <c r="C73" s="104">
        <f t="shared" si="16"/>
        <v>2.23</v>
      </c>
      <c r="D73" s="104">
        <f t="shared" si="16"/>
        <v>2.94</v>
      </c>
      <c r="E73" s="104">
        <f t="shared" si="16"/>
        <v>2.42</v>
      </c>
      <c r="F73" s="104">
        <f t="shared" si="16"/>
        <v>3.12</v>
      </c>
      <c r="G73" s="104">
        <f t="shared" si="16"/>
        <v>3.11</v>
      </c>
      <c r="H73" s="104">
        <f t="shared" si="16"/>
        <v>3.01</v>
      </c>
      <c r="I73" s="104">
        <f t="shared" si="16"/>
        <v>-0.27</v>
      </c>
      <c r="J73" s="104">
        <f t="shared" si="16"/>
        <v>0.46</v>
      </c>
      <c r="K73" s="104"/>
      <c r="L73" s="104"/>
    </row>
    <row r="74" spans="1:12">
      <c r="A74" s="105">
        <v>2454</v>
      </c>
      <c r="B74" s="105" t="s">
        <v>1875</v>
      </c>
      <c r="C74" s="105">
        <f>IF(C32&lt;0,ROUND((-C32/C44)*10,2),0)</f>
        <v>0.3</v>
      </c>
      <c r="D74" s="105">
        <f t="shared" ref="D74:J74" si="17">IF(D32&lt;0,ROUND((-D32/D44)*10,2),0)</f>
        <v>0.28000000000000003</v>
      </c>
      <c r="E74" s="105">
        <f t="shared" si="17"/>
        <v>0.38</v>
      </c>
      <c r="F74" s="105">
        <f t="shared" si="17"/>
        <v>0.44</v>
      </c>
      <c r="G74" s="105">
        <f t="shared" si="17"/>
        <v>1.1399999999999999</v>
      </c>
      <c r="H74" s="105">
        <f t="shared" si="17"/>
        <v>4.3</v>
      </c>
      <c r="I74" s="105">
        <f t="shared" si="17"/>
        <v>2.87</v>
      </c>
      <c r="J74" s="105">
        <f t="shared" si="17"/>
        <v>0.93</v>
      </c>
      <c r="K74" s="105"/>
      <c r="L74" s="105"/>
    </row>
    <row r="75" spans="1:12">
      <c r="A75" s="105">
        <v>3034</v>
      </c>
      <c r="B75" s="105" t="s">
        <v>1875</v>
      </c>
      <c r="C75" s="105">
        <f>IF(C33&lt;0,ROUND((-C33/C45)*10,2),0)</f>
        <v>0.11</v>
      </c>
      <c r="D75" s="105">
        <f t="shared" ref="D75:J75" si="18">IF(D33&lt;0,ROUND((-D33/D45)*10,2),0)</f>
        <v>0.11</v>
      </c>
      <c r="E75" s="105">
        <f t="shared" si="18"/>
        <v>0.03</v>
      </c>
      <c r="F75" s="105">
        <f t="shared" si="18"/>
        <v>0.04</v>
      </c>
      <c r="G75" s="105">
        <f t="shared" si="18"/>
        <v>0.12</v>
      </c>
      <c r="H75" s="105">
        <f t="shared" si="18"/>
        <v>0.09</v>
      </c>
      <c r="I75" s="105">
        <f t="shared" si="18"/>
        <v>0.05</v>
      </c>
      <c r="J75" s="105">
        <f t="shared" si="18"/>
        <v>1.07</v>
      </c>
      <c r="K75" s="105"/>
      <c r="L75" s="105"/>
    </row>
    <row r="76" spans="1:12">
      <c r="A76" s="105">
        <v>2379</v>
      </c>
      <c r="B76" s="105" t="s">
        <v>1875</v>
      </c>
      <c r="C76" s="105">
        <f>IF(C34&lt;0,ROUND((-C34/C46)*10,2),0)</f>
        <v>0.09</v>
      </c>
      <c r="D76" s="105">
        <f t="shared" ref="D76:J76" si="19">IF(D34&lt;0,ROUND((-D34/D46)*10,2),0)</f>
        <v>0.28000000000000003</v>
      </c>
      <c r="E76" s="105">
        <f t="shared" si="19"/>
        <v>1.45</v>
      </c>
      <c r="F76" s="105">
        <f t="shared" si="19"/>
        <v>0.1</v>
      </c>
      <c r="G76" s="105">
        <f t="shared" si="19"/>
        <v>0.08</v>
      </c>
      <c r="H76" s="105">
        <f t="shared" si="19"/>
        <v>0.01</v>
      </c>
      <c r="I76" s="105">
        <f t="shared" si="19"/>
        <v>0.21</v>
      </c>
      <c r="J76" s="105">
        <f t="shared" si="19"/>
        <v>0.31</v>
      </c>
      <c r="K76" s="105"/>
      <c r="L76" s="105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8" customWidth="1"/>
  </cols>
  <sheetData>
    <row r="2" spans="2:10">
      <c r="B2" t="s">
        <v>1909</v>
      </c>
    </row>
    <row r="3" spans="2:10">
      <c r="B3" t="s">
        <v>48</v>
      </c>
    </row>
    <row r="4" spans="2:10">
      <c r="B4" t="s">
        <v>50</v>
      </c>
      <c r="C4" t="s">
        <v>229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56</v>
      </c>
      <c r="J4" t="s">
        <v>57</v>
      </c>
    </row>
    <row r="5" spans="2:10">
      <c r="B5" t="s">
        <v>10</v>
      </c>
      <c r="C5" s="46">
        <v>47044</v>
      </c>
      <c r="D5" s="46">
        <v>47536</v>
      </c>
      <c r="E5" s="46">
        <v>55453</v>
      </c>
      <c r="F5" s="46">
        <v>57472</v>
      </c>
      <c r="G5" s="46">
        <v>54133</v>
      </c>
      <c r="H5" s="46">
        <v>46005</v>
      </c>
      <c r="I5" s="46">
        <v>39798</v>
      </c>
      <c r="J5" s="46">
        <v>39008</v>
      </c>
    </row>
    <row r="6" spans="2:10">
      <c r="B6" t="s">
        <v>11</v>
      </c>
      <c r="C6" s="46">
        <v>25448</v>
      </c>
      <c r="D6" s="46">
        <v>25038</v>
      </c>
      <c r="E6" s="46">
        <v>28868</v>
      </c>
      <c r="F6" s="46">
        <v>29238</v>
      </c>
      <c r="G6" s="46">
        <v>27309</v>
      </c>
      <c r="H6" s="46">
        <v>23779</v>
      </c>
      <c r="I6" s="46">
        <v>21608</v>
      </c>
      <c r="J6" s="46">
        <v>21867</v>
      </c>
    </row>
    <row r="7" spans="2:10">
      <c r="B7" t="s">
        <v>58</v>
      </c>
      <c r="C7" s="46">
        <v>21596</v>
      </c>
      <c r="D7" s="46">
        <v>22499</v>
      </c>
      <c r="E7" s="46">
        <v>26585</v>
      </c>
      <c r="F7" s="46">
        <v>28234</v>
      </c>
      <c r="G7" s="46">
        <v>26824</v>
      </c>
      <c r="H7" s="46">
        <v>22226</v>
      </c>
      <c r="I7" s="46">
        <v>18190</v>
      </c>
      <c r="J7" s="46">
        <v>17140</v>
      </c>
    </row>
    <row r="8" spans="2:10">
      <c r="B8" t="s">
        <v>59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60</v>
      </c>
      <c r="C9" s="46">
        <v>21596</v>
      </c>
      <c r="D9" s="46">
        <v>22499</v>
      </c>
      <c r="E9" s="46">
        <v>26585</v>
      </c>
      <c r="F9" s="46">
        <v>28234</v>
      </c>
      <c r="G9" s="46">
        <v>26824</v>
      </c>
      <c r="H9" s="46">
        <v>22226</v>
      </c>
      <c r="I9" s="46">
        <v>18190</v>
      </c>
      <c r="J9" s="46">
        <v>17140</v>
      </c>
    </row>
    <row r="10" spans="2:10">
      <c r="B10" t="s">
        <v>61</v>
      </c>
      <c r="C10" s="46">
        <v>14730</v>
      </c>
      <c r="D10" s="46">
        <v>14827</v>
      </c>
      <c r="E10" s="46">
        <v>16711</v>
      </c>
      <c r="F10" s="46">
        <v>14440</v>
      </c>
      <c r="G10" s="46">
        <v>14063</v>
      </c>
      <c r="H10" s="46">
        <v>11413</v>
      </c>
      <c r="I10" s="46">
        <v>9787</v>
      </c>
      <c r="J10" s="46">
        <v>9274</v>
      </c>
    </row>
    <row r="11" spans="2:10">
      <c r="B11" t="s">
        <v>62</v>
      </c>
      <c r="C11" s="46">
        <v>1655</v>
      </c>
      <c r="D11" s="46">
        <v>2169</v>
      </c>
      <c r="E11" s="46">
        <v>2646</v>
      </c>
      <c r="F11" s="46">
        <v>1521</v>
      </c>
      <c r="G11" s="46">
        <v>2072</v>
      </c>
      <c r="H11" s="46">
        <v>1134</v>
      </c>
      <c r="I11" s="46">
        <v>1407</v>
      </c>
      <c r="J11" s="46">
        <v>1205</v>
      </c>
    </row>
    <row r="12" spans="2:10">
      <c r="B12" t="s">
        <v>63</v>
      </c>
      <c r="C12" s="46">
        <v>2178</v>
      </c>
      <c r="D12" s="46">
        <v>1807</v>
      </c>
      <c r="E12" s="46">
        <v>1584</v>
      </c>
      <c r="F12" s="46">
        <v>1381</v>
      </c>
      <c r="G12" s="46">
        <v>1589</v>
      </c>
      <c r="H12" s="46">
        <v>1363</v>
      </c>
      <c r="I12" s="46">
        <v>1009</v>
      </c>
      <c r="J12">
        <v>995</v>
      </c>
    </row>
    <row r="13" spans="2:10">
      <c r="B13" t="s">
        <v>64</v>
      </c>
      <c r="C13" s="46">
        <v>10897</v>
      </c>
      <c r="D13" s="46">
        <v>10851</v>
      </c>
      <c r="E13" s="46">
        <v>12481</v>
      </c>
      <c r="F13" s="46">
        <v>11538</v>
      </c>
      <c r="G13" s="46">
        <v>10403</v>
      </c>
      <c r="H13" s="46">
        <v>8915</v>
      </c>
      <c r="I13" s="46">
        <v>7372</v>
      </c>
      <c r="J13" s="46">
        <v>7075</v>
      </c>
    </row>
    <row r="14" spans="2:10">
      <c r="B14" t="s">
        <v>65</v>
      </c>
      <c r="C14" s="46">
        <v>6866</v>
      </c>
      <c r="D14" s="46">
        <v>7672</v>
      </c>
      <c r="E14" s="46">
        <v>9874</v>
      </c>
      <c r="F14" s="46">
        <v>13794</v>
      </c>
      <c r="G14" s="46">
        <v>12760</v>
      </c>
      <c r="H14" s="46">
        <v>10813</v>
      </c>
      <c r="I14" s="46">
        <v>8403</v>
      </c>
      <c r="J14" s="46">
        <v>7866</v>
      </c>
    </row>
    <row r="15" spans="2:10">
      <c r="B15" t="s">
        <v>66</v>
      </c>
      <c r="C15">
        <v>807</v>
      </c>
      <c r="D15">
        <v>816</v>
      </c>
      <c r="E15">
        <v>803</v>
      </c>
      <c r="F15">
        <v>895</v>
      </c>
      <c r="G15">
        <v>812</v>
      </c>
      <c r="H15">
        <v>616</v>
      </c>
      <c r="I15">
        <v>506</v>
      </c>
      <c r="J15">
        <v>416</v>
      </c>
    </row>
    <row r="16" spans="2:10">
      <c r="B16" t="s">
        <v>67</v>
      </c>
      <c r="C16">
        <v>391</v>
      </c>
      <c r="D16">
        <v>126</v>
      </c>
      <c r="E16">
        <v>245</v>
      </c>
      <c r="F16">
        <v>234</v>
      </c>
      <c r="G16">
        <v>209</v>
      </c>
      <c r="H16">
        <v>536</v>
      </c>
      <c r="I16">
        <v>195</v>
      </c>
      <c r="J16">
        <v>754</v>
      </c>
    </row>
    <row r="17" spans="2:10">
      <c r="B17" t="s">
        <v>68</v>
      </c>
      <c r="C17">
        <v>409</v>
      </c>
      <c r="D17">
        <v>10</v>
      </c>
      <c r="E17">
        <v>18</v>
      </c>
      <c r="F17">
        <v>192</v>
      </c>
      <c r="G17">
        <v>710</v>
      </c>
      <c r="H17">
        <v>9</v>
      </c>
      <c r="I17">
        <v>0</v>
      </c>
      <c r="J17">
        <v>2</v>
      </c>
    </row>
    <row r="18" spans="2:10">
      <c r="B18" t="s">
        <v>69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70</v>
      </c>
      <c r="C19">
        <v>-19</v>
      </c>
      <c r="D19">
        <v>148</v>
      </c>
      <c r="E19">
        <v>4</v>
      </c>
      <c r="F19">
        <v>0</v>
      </c>
      <c r="G19">
        <v>0</v>
      </c>
      <c r="H19">
        <v>0</v>
      </c>
      <c r="I19">
        <v>-7</v>
      </c>
      <c r="J19">
        <v>7</v>
      </c>
    </row>
    <row r="20" spans="2:10">
      <c r="B20" t="s">
        <v>71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76</v>
      </c>
      <c r="C25">
        <v>0</v>
      </c>
      <c r="D25">
        <v>0</v>
      </c>
      <c r="E25">
        <v>602</v>
      </c>
      <c r="F25">
        <v>0</v>
      </c>
      <c r="G25">
        <v>0</v>
      </c>
      <c r="H25">
        <v>0</v>
      </c>
      <c r="I25">
        <v>344</v>
      </c>
      <c r="J25">
        <v>-92</v>
      </c>
    </row>
    <row r="26" spans="2:10">
      <c r="B26" t="s">
        <v>77</v>
      </c>
      <c r="C26">
        <v>63</v>
      </c>
      <c r="D26">
        <v>20</v>
      </c>
      <c r="E26">
        <v>-240</v>
      </c>
      <c r="F26">
        <v>213</v>
      </c>
      <c r="G26">
        <v>72</v>
      </c>
      <c r="H26">
        <v>75</v>
      </c>
      <c r="I26">
        <v>184</v>
      </c>
      <c r="J26">
        <v>99</v>
      </c>
    </row>
    <row r="27" spans="2:10">
      <c r="B27" t="s">
        <v>78</v>
      </c>
      <c r="C27" s="46">
        <v>1651</v>
      </c>
      <c r="D27" s="46">
        <v>1120</v>
      </c>
      <c r="E27" s="46">
        <v>1431</v>
      </c>
      <c r="F27" s="46">
        <v>1534</v>
      </c>
      <c r="G27" s="46">
        <v>1802</v>
      </c>
      <c r="H27" s="46">
        <v>1235</v>
      </c>
      <c r="I27" s="46">
        <v>1221</v>
      </c>
      <c r="J27" s="46">
        <v>1185</v>
      </c>
    </row>
    <row r="28" spans="2:10">
      <c r="B28" t="s">
        <v>79</v>
      </c>
      <c r="C28">
        <v>100</v>
      </c>
      <c r="D28">
        <v>155</v>
      </c>
      <c r="E28">
        <v>136</v>
      </c>
      <c r="F28">
        <v>147</v>
      </c>
      <c r="G28">
        <v>113</v>
      </c>
      <c r="H28">
        <v>82</v>
      </c>
      <c r="I28">
        <v>58</v>
      </c>
      <c r="J28">
        <v>37</v>
      </c>
    </row>
    <row r="29" spans="2:10">
      <c r="B29" t="s">
        <v>80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81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82</v>
      </c>
      <c r="C31">
        <v>0</v>
      </c>
      <c r="D31">
        <v>0</v>
      </c>
      <c r="E31">
        <v>-16</v>
      </c>
      <c r="F31">
        <v>-1</v>
      </c>
      <c r="G31">
        <v>0</v>
      </c>
      <c r="H31">
        <v>17</v>
      </c>
      <c r="I31">
        <v>14</v>
      </c>
      <c r="J31">
        <v>3</v>
      </c>
    </row>
    <row r="32" spans="2:10">
      <c r="B32" t="s">
        <v>83</v>
      </c>
      <c r="C32">
        <v>5</v>
      </c>
      <c r="D32">
        <v>0</v>
      </c>
      <c r="E32">
        <v>1</v>
      </c>
      <c r="F32">
        <v>0</v>
      </c>
      <c r="G32">
        <v>1</v>
      </c>
      <c r="H32">
        <v>0</v>
      </c>
      <c r="I32">
        <v>2</v>
      </c>
      <c r="J32">
        <v>1</v>
      </c>
    </row>
    <row r="33" spans="2:10">
      <c r="B33" t="s">
        <v>84</v>
      </c>
      <c r="C33">
        <v>0</v>
      </c>
      <c r="D33">
        <v>5</v>
      </c>
      <c r="E33">
        <v>-23</v>
      </c>
      <c r="F33">
        <v>-29</v>
      </c>
      <c r="G33">
        <v>-6</v>
      </c>
      <c r="H33">
        <v>108</v>
      </c>
      <c r="I33">
        <v>63</v>
      </c>
      <c r="J33">
        <v>-41</v>
      </c>
    </row>
    <row r="34" spans="2:10">
      <c r="B34" t="s">
        <v>85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87</v>
      </c>
      <c r="C36">
        <v>795</v>
      </c>
      <c r="D36">
        <v>56</v>
      </c>
      <c r="E36">
        <v>0</v>
      </c>
      <c r="F36">
        <v>0</v>
      </c>
      <c r="G36">
        <v>263</v>
      </c>
      <c r="H36">
        <v>0</v>
      </c>
      <c r="I36">
        <v>28</v>
      </c>
      <c r="J36">
        <v>0</v>
      </c>
    </row>
    <row r="37" spans="2:10">
      <c r="B37" t="s">
        <v>88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89</v>
      </c>
      <c r="C38">
        <v>235</v>
      </c>
      <c r="D38">
        <v>344</v>
      </c>
      <c r="E38">
        <v>-49</v>
      </c>
      <c r="F38">
        <v>-298</v>
      </c>
      <c r="G38">
        <v>103</v>
      </c>
      <c r="H38">
        <v>243</v>
      </c>
      <c r="I38">
        <v>0</v>
      </c>
      <c r="J38">
        <v>0</v>
      </c>
    </row>
    <row r="39" spans="2:10">
      <c r="B39" t="s">
        <v>90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91</v>
      </c>
      <c r="C40">
        <v>-25</v>
      </c>
      <c r="D40">
        <v>89</v>
      </c>
      <c r="E40">
        <v>-527</v>
      </c>
      <c r="F40">
        <v>594</v>
      </c>
      <c r="G40">
        <v>-66</v>
      </c>
      <c r="H40">
        <v>96</v>
      </c>
      <c r="I40">
        <v>13</v>
      </c>
      <c r="J40">
        <v>17</v>
      </c>
    </row>
    <row r="41" spans="2:10">
      <c r="B41" t="s">
        <v>92</v>
      </c>
      <c r="C41" s="46">
        <v>1110</v>
      </c>
      <c r="D41">
        <v>650</v>
      </c>
      <c r="E41">
        <v>-478</v>
      </c>
      <c r="F41">
        <v>415</v>
      </c>
      <c r="G41">
        <v>410</v>
      </c>
      <c r="H41">
        <v>547</v>
      </c>
      <c r="I41">
        <v>178</v>
      </c>
      <c r="J41">
        <v>16</v>
      </c>
    </row>
    <row r="42" spans="2:10">
      <c r="B42" t="s">
        <v>93</v>
      </c>
      <c r="C42" s="46">
        <v>7407</v>
      </c>
      <c r="D42" s="46">
        <v>8142</v>
      </c>
      <c r="E42" s="46">
        <v>11782</v>
      </c>
      <c r="F42" s="46">
        <v>14914</v>
      </c>
      <c r="G42" s="46">
        <v>14153</v>
      </c>
      <c r="H42" s="46">
        <v>11501</v>
      </c>
      <c r="I42" s="46">
        <v>9446</v>
      </c>
      <c r="J42" s="46">
        <v>9035</v>
      </c>
    </row>
    <row r="43" spans="2:10">
      <c r="B43" t="s">
        <v>94</v>
      </c>
      <c r="C43" s="46">
        <v>1030</v>
      </c>
      <c r="D43">
        <v>891</v>
      </c>
      <c r="E43" s="46">
        <v>1372</v>
      </c>
      <c r="F43" s="46">
        <v>1612</v>
      </c>
      <c r="G43" s="46">
        <v>1605</v>
      </c>
      <c r="H43" s="46">
        <v>1362</v>
      </c>
      <c r="I43">
        <v>830</v>
      </c>
      <c r="J43">
        <v>619</v>
      </c>
    </row>
    <row r="44" spans="2:10">
      <c r="B44" t="s">
        <v>95</v>
      </c>
      <c r="C44" s="46">
        <v>6377</v>
      </c>
      <c r="D44" s="46">
        <v>7251</v>
      </c>
      <c r="E44" s="46">
        <v>10410</v>
      </c>
      <c r="F44" s="46">
        <v>13301</v>
      </c>
      <c r="G44" s="46">
        <v>12549</v>
      </c>
      <c r="H44" s="46">
        <v>10139</v>
      </c>
      <c r="I44" s="46">
        <v>8616</v>
      </c>
      <c r="J44" s="46">
        <v>8416</v>
      </c>
    </row>
    <row r="45" spans="2:10">
      <c r="B45" t="s">
        <v>96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99</v>
      </c>
      <c r="C48" s="46">
        <v>6377</v>
      </c>
      <c r="D48" s="46">
        <v>7251</v>
      </c>
      <c r="E48" s="46">
        <v>10410</v>
      </c>
      <c r="F48" s="46">
        <v>13301</v>
      </c>
      <c r="G48" s="46">
        <v>12549</v>
      </c>
      <c r="H48" s="46">
        <v>10139</v>
      </c>
      <c r="I48" s="46">
        <v>8616</v>
      </c>
      <c r="J48" s="46">
        <v>8416</v>
      </c>
    </row>
    <row r="49" spans="2:10">
      <c r="B49" t="s">
        <v>100</v>
      </c>
      <c r="C49" t="s">
        <v>101</v>
      </c>
      <c r="D49" t="s">
        <v>101</v>
      </c>
      <c r="E49" t="s">
        <v>101</v>
      </c>
      <c r="F49" t="s">
        <v>101</v>
      </c>
      <c r="G49" t="s">
        <v>101</v>
      </c>
      <c r="H49" t="s">
        <v>101</v>
      </c>
      <c r="I49" t="s">
        <v>101</v>
      </c>
      <c r="J49" t="s">
        <v>101</v>
      </c>
    </row>
    <row r="50" spans="2:10">
      <c r="B50" t="s">
        <v>102</v>
      </c>
      <c r="C50">
        <v>27</v>
      </c>
      <c r="D50">
        <v>25</v>
      </c>
      <c r="E50">
        <v>17</v>
      </c>
      <c r="F50">
        <v>2</v>
      </c>
      <c r="G50">
        <v>-10</v>
      </c>
      <c r="H50">
        <v>-8</v>
      </c>
      <c r="I50">
        <v>-7</v>
      </c>
      <c r="J50">
        <v>-12</v>
      </c>
    </row>
    <row r="51" spans="2:10">
      <c r="B51" t="s">
        <v>103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 s="46">
        <v>6350</v>
      </c>
      <c r="D52" s="46">
        <v>7226</v>
      </c>
      <c r="E52" s="46">
        <v>10393</v>
      </c>
      <c r="F52" s="46">
        <v>13299</v>
      </c>
      <c r="G52" s="46">
        <v>12558</v>
      </c>
      <c r="H52" s="46">
        <v>10147</v>
      </c>
      <c r="I52" s="46">
        <v>8623</v>
      </c>
      <c r="J52" s="46">
        <v>8428</v>
      </c>
    </row>
    <row r="53" spans="2:10">
      <c r="B53" t="s">
        <v>14</v>
      </c>
      <c r="C53">
        <v>4.0599999999999996</v>
      </c>
      <c r="D53">
        <v>4.62</v>
      </c>
      <c r="E53">
        <v>6.73</v>
      </c>
      <c r="F53">
        <v>8.51</v>
      </c>
      <c r="G53">
        <v>8.0299999999999994</v>
      </c>
      <c r="H53">
        <v>6.82</v>
      </c>
      <c r="I53">
        <v>6.43</v>
      </c>
      <c r="J53">
        <v>6.28</v>
      </c>
    </row>
    <row r="54" spans="2:10">
      <c r="B54" t="s">
        <v>104</v>
      </c>
      <c r="C54">
        <v>4.05</v>
      </c>
      <c r="D54">
        <v>4.6100000000000003</v>
      </c>
      <c r="E54" t="s">
        <v>101</v>
      </c>
      <c r="F54">
        <v>8.4600000000000009</v>
      </c>
      <c r="G54">
        <v>8</v>
      </c>
      <c r="H54">
        <v>6.8</v>
      </c>
      <c r="I54" t="s">
        <v>101</v>
      </c>
      <c r="J54">
        <v>6.26</v>
      </c>
    </row>
    <row r="55" spans="2:10">
      <c r="B55" t="s">
        <v>105</v>
      </c>
      <c r="C55" s="46">
        <v>15638</v>
      </c>
      <c r="D55" s="46">
        <v>15637</v>
      </c>
      <c r="E55" s="46">
        <v>15446</v>
      </c>
      <c r="F55" s="46">
        <v>15634</v>
      </c>
      <c r="G55" s="46">
        <v>15632</v>
      </c>
      <c r="H55" s="46">
        <v>14869</v>
      </c>
      <c r="I55" s="46">
        <v>13417</v>
      </c>
      <c r="J55" s="46">
        <v>13416</v>
      </c>
    </row>
    <row r="56" spans="2:10">
      <c r="B56" t="s">
        <v>106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107</v>
      </c>
      <c r="C57" t="s">
        <v>101</v>
      </c>
      <c r="D57" t="s">
        <v>101</v>
      </c>
      <c r="E57">
        <v>0</v>
      </c>
      <c r="F57" t="s">
        <v>101</v>
      </c>
      <c r="G57" t="s">
        <v>101</v>
      </c>
      <c r="H57" t="s">
        <v>101</v>
      </c>
      <c r="I57">
        <v>0</v>
      </c>
      <c r="J57" t="s">
        <v>101</v>
      </c>
    </row>
    <row r="58" spans="2:10">
      <c r="B58" t="s">
        <v>108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109</v>
      </c>
      <c r="C59">
        <v>8</v>
      </c>
      <c r="D59">
        <v>8</v>
      </c>
      <c r="E59">
        <v>8</v>
      </c>
      <c r="F59">
        <v>8</v>
      </c>
      <c r="G59">
        <v>8</v>
      </c>
      <c r="H59">
        <v>8</v>
      </c>
      <c r="I59">
        <v>8</v>
      </c>
      <c r="J59">
        <v>8</v>
      </c>
    </row>
    <row r="60" spans="2:10">
      <c r="B60" t="s">
        <v>110</v>
      </c>
      <c r="C60" s="46">
        <v>7507</v>
      </c>
      <c r="D60" s="46">
        <v>8297</v>
      </c>
      <c r="E60" s="46">
        <v>11918</v>
      </c>
      <c r="F60" s="46">
        <v>15061</v>
      </c>
      <c r="G60" s="46">
        <v>14267</v>
      </c>
      <c r="H60" s="46">
        <v>11583</v>
      </c>
      <c r="I60" s="46">
        <v>9505</v>
      </c>
      <c r="J60" s="46">
        <v>9072</v>
      </c>
    </row>
    <row r="61" spans="2:10">
      <c r="B61" t="s">
        <v>111</v>
      </c>
      <c r="C61" s="46">
        <v>8624</v>
      </c>
      <c r="D61" s="46">
        <v>9352</v>
      </c>
      <c r="E61" s="46">
        <v>12646</v>
      </c>
      <c r="F61" s="46">
        <v>15798</v>
      </c>
      <c r="G61" s="46">
        <v>14839</v>
      </c>
      <c r="H61" s="46">
        <v>12312</v>
      </c>
      <c r="I61" s="46">
        <v>9903</v>
      </c>
      <c r="J61" s="46">
        <v>9501</v>
      </c>
    </row>
    <row r="62" spans="2:10">
      <c r="B62" t="s">
        <v>112</v>
      </c>
      <c r="C62" s="46">
        <v>6788</v>
      </c>
      <c r="D62" s="46">
        <v>7154</v>
      </c>
      <c r="E62" s="46">
        <v>10350</v>
      </c>
      <c r="F62" s="46">
        <v>13079</v>
      </c>
      <c r="G62" s="46">
        <v>12098</v>
      </c>
      <c r="H62" s="46">
        <v>10255</v>
      </c>
      <c r="I62" s="46">
        <v>8729</v>
      </c>
      <c r="J62" s="46">
        <v>8370</v>
      </c>
    </row>
    <row r="63" spans="2:10">
      <c r="B63" t="s">
        <v>113</v>
      </c>
    </row>
    <row r="64" spans="2:10">
      <c r="B64" t="s">
        <v>114</v>
      </c>
    </row>
    <row r="101" spans="2:10">
      <c r="B101" t="s">
        <v>1910</v>
      </c>
    </row>
    <row r="102" spans="2:10">
      <c r="B102" t="s">
        <v>48</v>
      </c>
    </row>
    <row r="103" spans="2:10">
      <c r="B103" t="s">
        <v>50</v>
      </c>
      <c r="C103" t="s">
        <v>229</v>
      </c>
      <c r="D103" t="s">
        <v>51</v>
      </c>
      <c r="E103" t="s">
        <v>52</v>
      </c>
      <c r="F103" t="s">
        <v>53</v>
      </c>
      <c r="G103" t="s">
        <v>54</v>
      </c>
      <c r="H103" t="s">
        <v>55</v>
      </c>
      <c r="I103" t="s">
        <v>56</v>
      </c>
      <c r="J103" t="s">
        <v>57</v>
      </c>
    </row>
    <row r="104" spans="2:10">
      <c r="B104" t="s">
        <v>155</v>
      </c>
      <c r="C104" s="46">
        <v>195824</v>
      </c>
      <c r="D104" s="46">
        <v>196143</v>
      </c>
      <c r="E104" s="46">
        <v>192798</v>
      </c>
      <c r="F104" s="46">
        <v>185070</v>
      </c>
      <c r="G104" s="46">
        <v>190138</v>
      </c>
      <c r="H104" s="46">
        <v>166999</v>
      </c>
      <c r="I104" s="46">
        <v>132998</v>
      </c>
      <c r="J104" s="46">
        <v>107617</v>
      </c>
    </row>
    <row r="105" spans="2:10">
      <c r="B105" t="s">
        <v>156</v>
      </c>
      <c r="C105" s="46">
        <v>7300</v>
      </c>
      <c r="D105" s="46">
        <v>8809</v>
      </c>
      <c r="E105" s="46">
        <v>12497</v>
      </c>
      <c r="F105" s="46">
        <v>9651</v>
      </c>
      <c r="G105" s="46">
        <v>6293</v>
      </c>
      <c r="H105" s="46">
        <v>6918</v>
      </c>
      <c r="I105" s="46">
        <v>6221</v>
      </c>
      <c r="J105" s="46">
        <v>5575</v>
      </c>
    </row>
    <row r="106" spans="2:10">
      <c r="B106" t="s">
        <v>193</v>
      </c>
      <c r="C106" s="46">
        <v>12250</v>
      </c>
      <c r="D106" s="46">
        <v>13347</v>
      </c>
      <c r="E106" s="46">
        <v>12552</v>
      </c>
      <c r="F106" s="46">
        <v>15418</v>
      </c>
      <c r="G106" s="46">
        <v>12983</v>
      </c>
      <c r="H106" s="46">
        <v>13572</v>
      </c>
      <c r="I106" s="46">
        <v>7628</v>
      </c>
      <c r="J106" s="46">
        <v>11059</v>
      </c>
    </row>
    <row r="107" spans="2:10">
      <c r="B107" t="s">
        <v>157</v>
      </c>
      <c r="C107" s="46">
        <v>3183</v>
      </c>
      <c r="D107" s="46">
        <v>3069</v>
      </c>
      <c r="E107" s="46">
        <v>5296</v>
      </c>
      <c r="F107" s="46">
        <v>5359</v>
      </c>
      <c r="G107" s="46">
        <v>4438</v>
      </c>
      <c r="H107" s="46">
        <v>4319</v>
      </c>
      <c r="I107" s="46">
        <v>3653</v>
      </c>
      <c r="J107" s="46">
        <v>4474</v>
      </c>
    </row>
    <row r="108" spans="2:10">
      <c r="B108" t="s">
        <v>194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33654</v>
      </c>
      <c r="D109" s="46">
        <v>28085</v>
      </c>
      <c r="E109" s="46">
        <v>22341</v>
      </c>
      <c r="F109" s="46">
        <v>24464</v>
      </c>
      <c r="G109" s="46">
        <v>19326</v>
      </c>
      <c r="H109" s="46">
        <v>16649</v>
      </c>
      <c r="I109" s="46">
        <v>9347</v>
      </c>
      <c r="J109" s="46">
        <v>12938</v>
      </c>
    </row>
    <row r="110" spans="2:10">
      <c r="B110" t="s">
        <v>195</v>
      </c>
      <c r="C110" t="s">
        <v>101</v>
      </c>
      <c r="D110" t="s">
        <v>101</v>
      </c>
      <c r="E110" t="s">
        <v>101</v>
      </c>
      <c r="F110" t="s">
        <v>101</v>
      </c>
      <c r="G110" t="s">
        <v>101</v>
      </c>
      <c r="H110" t="s">
        <v>101</v>
      </c>
      <c r="I110" t="s">
        <v>101</v>
      </c>
      <c r="J110" t="s">
        <v>101</v>
      </c>
    </row>
    <row r="111" spans="2:10">
      <c r="B111" t="s">
        <v>158</v>
      </c>
      <c r="C111" s="46">
        <v>2709</v>
      </c>
      <c r="D111" s="46">
        <v>2384</v>
      </c>
      <c r="E111" s="46">
        <v>2247</v>
      </c>
      <c r="F111" s="46">
        <v>2204</v>
      </c>
      <c r="G111" s="46">
        <v>2360</v>
      </c>
      <c r="H111" s="46">
        <v>1678</v>
      </c>
      <c r="I111" s="46">
        <v>1404</v>
      </c>
      <c r="J111">
        <v>954</v>
      </c>
    </row>
    <row r="112" spans="2:10">
      <c r="B112" t="s">
        <v>159</v>
      </c>
      <c r="C112">
        <v>942</v>
      </c>
      <c r="D112">
        <v>903</v>
      </c>
      <c r="E112">
        <v>776</v>
      </c>
      <c r="F112" s="46">
        <v>1315</v>
      </c>
      <c r="G112">
        <v>811</v>
      </c>
      <c r="H112">
        <v>701</v>
      </c>
      <c r="I112">
        <v>460</v>
      </c>
      <c r="J112">
        <v>609</v>
      </c>
    </row>
    <row r="113" spans="2:10">
      <c r="B113" t="s">
        <v>160</v>
      </c>
      <c r="C113" s="46">
        <v>256141</v>
      </c>
      <c r="D113" s="46">
        <v>252763</v>
      </c>
      <c r="E113" s="46">
        <v>248555</v>
      </c>
      <c r="F113" s="46">
        <v>243526</v>
      </c>
      <c r="G113" s="46">
        <v>236392</v>
      </c>
      <c r="H113" s="46">
        <v>210884</v>
      </c>
      <c r="I113" s="46">
        <v>161741</v>
      </c>
      <c r="J113" s="46">
        <v>143293</v>
      </c>
    </row>
    <row r="114" spans="2:10">
      <c r="B114" t="s">
        <v>161</v>
      </c>
      <c r="C114" s="46">
        <v>19769</v>
      </c>
      <c r="D114" s="46">
        <v>17236</v>
      </c>
      <c r="E114" s="46">
        <v>15001</v>
      </c>
      <c r="F114" s="46">
        <v>12179</v>
      </c>
      <c r="G114" s="46">
        <v>9918</v>
      </c>
      <c r="H114" s="46">
        <v>10122</v>
      </c>
      <c r="I114" s="46">
        <v>68040</v>
      </c>
      <c r="J114" s="46">
        <v>66540</v>
      </c>
    </row>
    <row r="115" spans="2:10">
      <c r="B115" t="s">
        <v>162</v>
      </c>
      <c r="C115" s="46">
        <v>3457</v>
      </c>
      <c r="D115" s="46">
        <v>3457</v>
      </c>
      <c r="E115" s="46">
        <v>3394</v>
      </c>
      <c r="F115" s="46">
        <v>3315</v>
      </c>
      <c r="G115" s="46">
        <v>3116</v>
      </c>
      <c r="H115" s="46">
        <v>3139</v>
      </c>
      <c r="I115" s="46">
        <v>1274</v>
      </c>
      <c r="J115" s="46">
        <v>1274</v>
      </c>
    </row>
    <row r="116" spans="2:10">
      <c r="B116" t="s">
        <v>163</v>
      </c>
      <c r="C116" s="46">
        <v>11038</v>
      </c>
      <c r="D116" s="46">
        <v>11003</v>
      </c>
      <c r="E116" s="46">
        <v>10942</v>
      </c>
      <c r="F116" s="46">
        <v>10635</v>
      </c>
      <c r="G116" s="46">
        <v>10306</v>
      </c>
      <c r="H116" s="46">
        <v>10378</v>
      </c>
      <c r="I116" s="46">
        <v>9079</v>
      </c>
      <c r="J116" s="46">
        <v>9022</v>
      </c>
    </row>
    <row r="117" spans="2:10">
      <c r="B117" t="s">
        <v>164</v>
      </c>
      <c r="C117">
        <v>75</v>
      </c>
      <c r="D117">
        <v>72</v>
      </c>
      <c r="E117">
        <v>77</v>
      </c>
      <c r="F117">
        <v>70</v>
      </c>
      <c r="G117">
        <v>118</v>
      </c>
      <c r="H117">
        <v>233</v>
      </c>
      <c r="I117">
        <v>123</v>
      </c>
      <c r="J117">
        <v>121</v>
      </c>
    </row>
    <row r="118" spans="2:10">
      <c r="B118" t="s">
        <v>165</v>
      </c>
      <c r="C118" s="46">
        <v>10017</v>
      </c>
      <c r="D118" s="46">
        <v>9144</v>
      </c>
      <c r="E118" s="46">
        <v>8712</v>
      </c>
      <c r="F118" s="46">
        <v>8031</v>
      </c>
      <c r="G118" s="46">
        <v>7458</v>
      </c>
      <c r="H118" s="46">
        <v>7655</v>
      </c>
      <c r="I118" s="46">
        <v>6731</v>
      </c>
      <c r="J118" s="46">
        <v>6569</v>
      </c>
    </row>
    <row r="119" spans="2:10">
      <c r="B119" t="s">
        <v>166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167</v>
      </c>
      <c r="C120" s="46">
        <v>-8196</v>
      </c>
      <c r="D120" s="46">
        <v>-7882</v>
      </c>
      <c r="E120" s="46">
        <v>-7623</v>
      </c>
      <c r="F120" s="46">
        <v>-7261</v>
      </c>
      <c r="G120" s="46">
        <v>-7054</v>
      </c>
      <c r="H120" s="46">
        <v>-7920</v>
      </c>
      <c r="I120" s="46">
        <v>-6905</v>
      </c>
      <c r="J120" s="46">
        <v>-6652</v>
      </c>
    </row>
    <row r="121" spans="2:10">
      <c r="B121" t="s">
        <v>168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169</v>
      </c>
      <c r="C122" s="46">
        <v>11909</v>
      </c>
      <c r="D122" s="46">
        <v>11540</v>
      </c>
      <c r="E122" s="46">
        <v>7793</v>
      </c>
      <c r="F122" s="46">
        <v>1946</v>
      </c>
      <c r="G122" s="46">
        <v>1235</v>
      </c>
      <c r="H122" s="46">
        <v>1286</v>
      </c>
      <c r="I122" s="46">
        <v>1011</v>
      </c>
      <c r="J122">
        <v>854</v>
      </c>
    </row>
    <row r="123" spans="2:10">
      <c r="B123" t="s">
        <v>170</v>
      </c>
      <c r="C123" s="46">
        <v>28300</v>
      </c>
      <c r="D123" s="46">
        <v>27334</v>
      </c>
      <c r="E123" s="46">
        <v>23295</v>
      </c>
      <c r="F123" s="46">
        <v>16736</v>
      </c>
      <c r="G123" s="46">
        <v>15180</v>
      </c>
      <c r="H123" s="46">
        <v>14770</v>
      </c>
      <c r="I123" s="46">
        <v>11312</v>
      </c>
      <c r="J123" s="46">
        <v>11188</v>
      </c>
    </row>
    <row r="124" spans="2:10">
      <c r="B124" t="s">
        <v>171</v>
      </c>
      <c r="C124" s="46">
        <v>2892</v>
      </c>
      <c r="D124" s="46">
        <v>3156</v>
      </c>
      <c r="E124" s="46">
        <v>3196</v>
      </c>
      <c r="F124" s="46">
        <v>2946</v>
      </c>
      <c r="G124" s="46">
        <v>2618</v>
      </c>
      <c r="H124" s="46">
        <v>1917</v>
      </c>
      <c r="I124" s="46">
        <v>1779</v>
      </c>
      <c r="J124" s="46">
        <v>1572</v>
      </c>
    </row>
    <row r="125" spans="2:10">
      <c r="B125" t="s">
        <v>172</v>
      </c>
      <c r="C125" s="46">
        <v>8840</v>
      </c>
      <c r="D125" s="46">
        <v>8876</v>
      </c>
      <c r="E125" s="46">
        <v>6621</v>
      </c>
      <c r="F125" s="46">
        <v>6140</v>
      </c>
      <c r="G125" s="46">
        <v>6696</v>
      </c>
      <c r="H125" s="46">
        <v>7190</v>
      </c>
      <c r="I125" s="46">
        <v>1544</v>
      </c>
      <c r="J125" s="46">
        <v>1372</v>
      </c>
    </row>
    <row r="126" spans="2:10">
      <c r="B126" t="s">
        <v>173</v>
      </c>
      <c r="C126">
        <v>347</v>
      </c>
      <c r="D126">
        <v>338</v>
      </c>
      <c r="E126">
        <v>314</v>
      </c>
      <c r="F126">
        <v>436</v>
      </c>
      <c r="G126">
        <v>261</v>
      </c>
      <c r="H126">
        <v>267</v>
      </c>
      <c r="I126">
        <v>256</v>
      </c>
      <c r="J126">
        <v>271</v>
      </c>
    </row>
    <row r="127" spans="2:10">
      <c r="B127" t="s">
        <v>174</v>
      </c>
      <c r="C127" s="46">
        <v>67146</v>
      </c>
      <c r="D127" s="46">
        <v>66501</v>
      </c>
      <c r="E127" s="46">
        <v>64269</v>
      </c>
      <c r="F127" s="46">
        <v>62641</v>
      </c>
      <c r="G127" s="46">
        <v>62367</v>
      </c>
      <c r="H127" s="46">
        <v>62767</v>
      </c>
      <c r="I127" s="46">
        <v>17544</v>
      </c>
      <c r="J127" s="46">
        <v>17175</v>
      </c>
    </row>
    <row r="128" spans="2:10">
      <c r="B128" t="s">
        <v>18</v>
      </c>
      <c r="C128" s="46">
        <v>371355</v>
      </c>
      <c r="D128" s="46">
        <v>363834</v>
      </c>
      <c r="E128" s="46">
        <v>351119</v>
      </c>
      <c r="F128" s="46">
        <v>335083</v>
      </c>
      <c r="G128" s="46">
        <v>323857</v>
      </c>
      <c r="H128" s="46">
        <v>298543</v>
      </c>
      <c r="I128" s="46">
        <v>258637</v>
      </c>
      <c r="J128" s="46">
        <v>238195</v>
      </c>
    </row>
    <row r="129" spans="2:10">
      <c r="B129" t="s">
        <v>196</v>
      </c>
      <c r="C129" s="46">
        <v>57491</v>
      </c>
      <c r="D129" s="46">
        <v>50934</v>
      </c>
      <c r="E129" s="46">
        <v>46161</v>
      </c>
      <c r="F129" s="46">
        <v>43454</v>
      </c>
      <c r="G129" s="46">
        <v>34046</v>
      </c>
      <c r="H129" s="46">
        <v>22101</v>
      </c>
      <c r="I129" s="46">
        <v>29052</v>
      </c>
      <c r="J129" s="46">
        <v>19760</v>
      </c>
    </row>
    <row r="130" spans="2:10">
      <c r="B130" t="s">
        <v>197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18806</v>
      </c>
      <c r="D131" s="46">
        <v>19650</v>
      </c>
      <c r="E131" s="46">
        <v>14605</v>
      </c>
      <c r="F131" s="46">
        <v>21307</v>
      </c>
      <c r="G131" s="46">
        <v>18439</v>
      </c>
      <c r="H131" s="46">
        <v>17421</v>
      </c>
      <c r="I131" s="46">
        <v>10944</v>
      </c>
      <c r="J131" s="46">
        <v>12520</v>
      </c>
    </row>
    <row r="132" spans="2:10">
      <c r="B132" t="s">
        <v>175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176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177</v>
      </c>
      <c r="C134" s="46">
        <v>63786</v>
      </c>
      <c r="D134" s="46">
        <v>29318</v>
      </c>
      <c r="E134" s="46">
        <v>32767</v>
      </c>
      <c r="F134" s="46">
        <v>29799</v>
      </c>
      <c r="G134" s="46">
        <v>48496</v>
      </c>
      <c r="H134" s="46">
        <v>20936</v>
      </c>
      <c r="I134" s="46">
        <v>16835</v>
      </c>
      <c r="J134" s="46">
        <v>15264</v>
      </c>
    </row>
    <row r="135" spans="2:10">
      <c r="B135" t="s">
        <v>178</v>
      </c>
      <c r="C135" s="46">
        <v>2573</v>
      </c>
      <c r="D135" s="46">
        <v>7700</v>
      </c>
      <c r="E135" s="46">
        <v>7323</v>
      </c>
      <c r="F135" s="46">
        <v>6250</v>
      </c>
      <c r="G135" s="46">
        <v>5365</v>
      </c>
      <c r="H135" s="46">
        <v>6749</v>
      </c>
      <c r="I135" s="46">
        <v>3152</v>
      </c>
      <c r="J135" s="46">
        <v>2144</v>
      </c>
    </row>
    <row r="136" spans="2:10">
      <c r="B136" t="s">
        <v>179</v>
      </c>
      <c r="C136">
        <v>45</v>
      </c>
      <c r="D136">
        <v>42</v>
      </c>
      <c r="E136">
        <v>38</v>
      </c>
      <c r="F136">
        <v>35</v>
      </c>
      <c r="G136">
        <v>33</v>
      </c>
      <c r="H136">
        <v>32</v>
      </c>
      <c r="I136">
        <v>30</v>
      </c>
      <c r="J136">
        <v>37</v>
      </c>
    </row>
    <row r="137" spans="2:10">
      <c r="B137" t="s">
        <v>180</v>
      </c>
      <c r="C137">
        <v>987</v>
      </c>
      <c r="D137">
        <v>510</v>
      </c>
      <c r="E137">
        <v>676</v>
      </c>
      <c r="F137" s="46">
        <v>1475</v>
      </c>
      <c r="G137" s="46">
        <v>1302</v>
      </c>
      <c r="H137" s="46">
        <v>1268</v>
      </c>
      <c r="I137" s="46">
        <v>1346</v>
      </c>
      <c r="J137" s="46">
        <v>1242</v>
      </c>
    </row>
    <row r="138" spans="2:10">
      <c r="B138" t="s">
        <v>181</v>
      </c>
      <c r="C138" s="46">
        <v>143694</v>
      </c>
      <c r="D138" s="46">
        <v>108158</v>
      </c>
      <c r="E138" s="46">
        <v>101620</v>
      </c>
      <c r="F138" s="46">
        <v>102383</v>
      </c>
      <c r="G138" s="46">
        <v>107751</v>
      </c>
      <c r="H138" s="46">
        <v>68530</v>
      </c>
      <c r="I138" s="46">
        <v>61385</v>
      </c>
      <c r="J138" s="46">
        <v>50970</v>
      </c>
    </row>
    <row r="139" spans="2:10">
      <c r="B139" t="s">
        <v>182</v>
      </c>
      <c r="C139">
        <v>26</v>
      </c>
      <c r="D139">
        <v>40</v>
      </c>
      <c r="E139">
        <v>54</v>
      </c>
      <c r="F139">
        <v>61</v>
      </c>
      <c r="G139">
        <v>69</v>
      </c>
      <c r="H139">
        <v>79</v>
      </c>
      <c r="I139">
        <v>87</v>
      </c>
      <c r="J139">
        <v>93</v>
      </c>
    </row>
    <row r="140" spans="2:10">
      <c r="B140" t="s">
        <v>183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184</v>
      </c>
      <c r="C141">
        <v>950</v>
      </c>
      <c r="D141">
        <v>955</v>
      </c>
      <c r="E141">
        <v>941</v>
      </c>
      <c r="F141">
        <v>630</v>
      </c>
      <c r="G141">
        <v>627</v>
      </c>
      <c r="H141">
        <v>609</v>
      </c>
      <c r="I141">
        <v>606</v>
      </c>
      <c r="J141">
        <v>562</v>
      </c>
    </row>
    <row r="142" spans="2:10">
      <c r="B142" t="s">
        <v>185</v>
      </c>
      <c r="C142">
        <v>991</v>
      </c>
      <c r="D142">
        <v>806</v>
      </c>
      <c r="E142">
        <v>630</v>
      </c>
      <c r="F142">
        <v>775</v>
      </c>
      <c r="G142">
        <v>847</v>
      </c>
      <c r="H142">
        <v>732</v>
      </c>
      <c r="I142" s="46">
        <v>1050</v>
      </c>
      <c r="J142" s="46">
        <v>1318</v>
      </c>
    </row>
    <row r="143" spans="2:10">
      <c r="B143" t="s">
        <v>186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188</v>
      </c>
      <c r="C145">
        <v>256</v>
      </c>
      <c r="D145">
        <v>255</v>
      </c>
      <c r="E145">
        <v>269</v>
      </c>
      <c r="F145">
        <v>254</v>
      </c>
      <c r="G145">
        <v>247</v>
      </c>
      <c r="H145">
        <v>194</v>
      </c>
      <c r="I145">
        <v>156</v>
      </c>
      <c r="J145">
        <v>151</v>
      </c>
    </row>
    <row r="146" spans="2:10">
      <c r="B146" t="s">
        <v>189</v>
      </c>
      <c r="C146" s="46">
        <v>2197</v>
      </c>
      <c r="D146" s="46">
        <v>2015</v>
      </c>
      <c r="E146" s="46">
        <v>1839</v>
      </c>
      <c r="F146" s="46">
        <v>1660</v>
      </c>
      <c r="G146" s="46">
        <v>1721</v>
      </c>
      <c r="H146" s="46">
        <v>1535</v>
      </c>
      <c r="I146" s="46">
        <v>1812</v>
      </c>
      <c r="J146" s="46">
        <v>2032</v>
      </c>
    </row>
    <row r="147" spans="2:10">
      <c r="B147" t="s">
        <v>17</v>
      </c>
      <c r="C147" s="46">
        <v>145918</v>
      </c>
      <c r="D147" s="46">
        <v>110214</v>
      </c>
      <c r="E147" s="46">
        <v>103513</v>
      </c>
      <c r="F147" s="46">
        <v>104104</v>
      </c>
      <c r="G147" s="46">
        <v>109540</v>
      </c>
      <c r="H147" s="46">
        <v>70145</v>
      </c>
      <c r="I147" s="46">
        <v>63283</v>
      </c>
      <c r="J147" s="46">
        <v>53095</v>
      </c>
    </row>
    <row r="148" spans="2:10">
      <c r="B148" t="s">
        <v>190</v>
      </c>
      <c r="C148" s="46">
        <v>225438</v>
      </c>
      <c r="D148" s="46">
        <v>253620</v>
      </c>
      <c r="E148" s="46">
        <v>247606</v>
      </c>
      <c r="F148" s="46">
        <v>230979</v>
      </c>
      <c r="G148" s="46">
        <v>214317</v>
      </c>
      <c r="H148" s="46">
        <v>228398</v>
      </c>
      <c r="I148" s="46">
        <v>195353</v>
      </c>
      <c r="J148" s="46">
        <v>185099</v>
      </c>
    </row>
    <row r="149" spans="2:10">
      <c r="B149" t="s">
        <v>198</v>
      </c>
      <c r="C149" s="46">
        <v>15716</v>
      </c>
      <c r="D149" s="46">
        <v>15715</v>
      </c>
      <c r="E149" s="46">
        <v>15714</v>
      </c>
      <c r="F149" s="46">
        <v>15710</v>
      </c>
      <c r="G149" s="46">
        <v>15710</v>
      </c>
      <c r="H149" s="46">
        <v>15708</v>
      </c>
      <c r="I149" s="46">
        <v>13495</v>
      </c>
      <c r="J149" s="46">
        <v>13494</v>
      </c>
    </row>
    <row r="150" spans="2:10">
      <c r="B150" t="s">
        <v>199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200</v>
      </c>
      <c r="C151" s="46">
        <v>88191</v>
      </c>
      <c r="D151" s="46">
        <v>88133</v>
      </c>
      <c r="E151" s="46">
        <v>88048</v>
      </c>
      <c r="F151" s="46">
        <v>87900</v>
      </c>
      <c r="G151" s="46">
        <v>88090</v>
      </c>
      <c r="H151" s="46">
        <v>88050</v>
      </c>
      <c r="I151" s="46">
        <v>68475</v>
      </c>
      <c r="J151" s="46">
        <v>68376</v>
      </c>
    </row>
    <row r="152" spans="2:10">
      <c r="B152" t="s">
        <v>201</v>
      </c>
      <c r="C152" s="46">
        <v>32032</v>
      </c>
      <c r="D152" s="46">
        <v>27393</v>
      </c>
      <c r="E152" s="46">
        <v>27393</v>
      </c>
      <c r="F152" s="46">
        <v>27393</v>
      </c>
      <c r="G152" s="46">
        <v>27393</v>
      </c>
      <c r="H152" s="46">
        <v>24641</v>
      </c>
      <c r="I152" s="46">
        <v>24641</v>
      </c>
      <c r="J152" s="46">
        <v>24641</v>
      </c>
    </row>
    <row r="153" spans="2:10">
      <c r="B153" t="s">
        <v>202</v>
      </c>
      <c r="C153">
        <v>0</v>
      </c>
      <c r="D153">
        <v>896</v>
      </c>
      <c r="E153">
        <v>896</v>
      </c>
      <c r="F153">
        <v>896</v>
      </c>
      <c r="G153">
        <v>896</v>
      </c>
      <c r="H153" s="46">
        <v>5072</v>
      </c>
      <c r="I153" s="46">
        <v>5072</v>
      </c>
      <c r="J153" s="46">
        <v>5072</v>
      </c>
    </row>
    <row r="154" spans="2:10">
      <c r="B154" t="s">
        <v>203</v>
      </c>
      <c r="C154" s="46">
        <v>83824</v>
      </c>
      <c r="D154" s="46">
        <v>115792</v>
      </c>
      <c r="E154" s="46">
        <v>108567</v>
      </c>
      <c r="F154" s="46">
        <v>98446</v>
      </c>
      <c r="G154" s="46">
        <v>85147</v>
      </c>
      <c r="H154" s="46">
        <v>94729</v>
      </c>
      <c r="I154" s="46">
        <v>84581</v>
      </c>
      <c r="J154" s="46">
        <v>76000</v>
      </c>
    </row>
    <row r="155" spans="2:10">
      <c r="B155" t="s">
        <v>204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191</v>
      </c>
      <c r="C156">
        <v>856</v>
      </c>
      <c r="D156">
        <v>478</v>
      </c>
      <c r="E156">
        <v>438</v>
      </c>
      <c r="F156">
        <v>129</v>
      </c>
      <c r="G156">
        <v>37</v>
      </c>
      <c r="H156">
        <v>60</v>
      </c>
      <c r="I156">
        <v>38</v>
      </c>
      <c r="J156">
        <v>43</v>
      </c>
    </row>
    <row r="157" spans="2:10">
      <c r="B157" t="s">
        <v>192</v>
      </c>
      <c r="C157" s="46">
        <v>371355</v>
      </c>
      <c r="D157" s="46">
        <v>363834</v>
      </c>
      <c r="E157" s="46">
        <v>351119</v>
      </c>
      <c r="F157" s="46">
        <v>335083</v>
      </c>
      <c r="G157" s="46">
        <v>323857</v>
      </c>
      <c r="H157" s="46">
        <v>298543</v>
      </c>
      <c r="I157" s="46">
        <v>258637</v>
      </c>
      <c r="J157" s="46">
        <v>238195</v>
      </c>
    </row>
    <row r="158" spans="2:10">
      <c r="B158" t="s">
        <v>113</v>
      </c>
    </row>
    <row r="159" spans="2:10">
      <c r="B159" t="s">
        <v>114</v>
      </c>
    </row>
    <row r="201" spans="2:10">
      <c r="B201" t="s">
        <v>1909</v>
      </c>
    </row>
    <row r="202" spans="2:10">
      <c r="B202" t="s">
        <v>48</v>
      </c>
    </row>
    <row r="203" spans="2:10">
      <c r="B203" t="s">
        <v>50</v>
      </c>
      <c r="C203" t="s">
        <v>229</v>
      </c>
      <c r="D203" t="s">
        <v>51</v>
      </c>
      <c r="E203" t="s">
        <v>52</v>
      </c>
      <c r="F203" t="s">
        <v>53</v>
      </c>
      <c r="G203" t="s">
        <v>54</v>
      </c>
      <c r="H203" t="s">
        <v>55</v>
      </c>
      <c r="I203" t="s">
        <v>56</v>
      </c>
      <c r="J203" t="s">
        <v>57</v>
      </c>
    </row>
    <row r="204" spans="2:10">
      <c r="B204" t="s">
        <v>115</v>
      </c>
      <c r="C204" s="46">
        <v>6377</v>
      </c>
      <c r="D204" s="46">
        <v>7251</v>
      </c>
      <c r="E204" s="46">
        <v>10410</v>
      </c>
      <c r="F204" s="46">
        <v>13301</v>
      </c>
      <c r="G204" s="46">
        <v>12549</v>
      </c>
      <c r="H204" s="46">
        <v>10139</v>
      </c>
      <c r="I204" s="46">
        <v>8616</v>
      </c>
      <c r="J204" s="46">
        <v>8416</v>
      </c>
    </row>
    <row r="205" spans="2:10">
      <c r="B205" t="s">
        <v>116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117</v>
      </c>
      <c r="C206">
        <v>422</v>
      </c>
      <c r="D206">
        <v>414</v>
      </c>
      <c r="E206">
        <v>354</v>
      </c>
      <c r="F206">
        <v>351</v>
      </c>
      <c r="G206">
        <v>304</v>
      </c>
      <c r="H206">
        <v>304</v>
      </c>
      <c r="I206">
        <v>272</v>
      </c>
      <c r="J206">
        <v>301</v>
      </c>
    </row>
    <row r="207" spans="2:10">
      <c r="B207" t="s">
        <v>118</v>
      </c>
      <c r="C207">
        <v>695</v>
      </c>
      <c r="D207">
        <v>640</v>
      </c>
      <c r="E207">
        <v>373</v>
      </c>
      <c r="F207">
        <v>386</v>
      </c>
      <c r="G207">
        <v>269</v>
      </c>
      <c r="H207">
        <v>425</v>
      </c>
      <c r="I207">
        <v>126</v>
      </c>
      <c r="J207">
        <v>127</v>
      </c>
    </row>
    <row r="208" spans="2:10">
      <c r="B208" t="s">
        <v>119</v>
      </c>
      <c r="C208">
        <v>-141</v>
      </c>
      <c r="D208">
        <v>-78</v>
      </c>
      <c r="E208">
        <v>-207</v>
      </c>
      <c r="F208">
        <v>-150</v>
      </c>
      <c r="G208">
        <v>-144</v>
      </c>
      <c r="H208">
        <v>-484</v>
      </c>
      <c r="I208">
        <v>-165</v>
      </c>
      <c r="J208">
        <v>-684</v>
      </c>
    </row>
    <row r="209" spans="2:10">
      <c r="B209" t="s">
        <v>120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121</v>
      </c>
      <c r="C210">
        <v>250</v>
      </c>
      <c r="D210">
        <v>48</v>
      </c>
      <c r="E210">
        <v>38</v>
      </c>
      <c r="F210">
        <v>84</v>
      </c>
      <c r="G210">
        <v>65</v>
      </c>
      <c r="H210">
        <v>52</v>
      </c>
      <c r="I210">
        <v>23</v>
      </c>
      <c r="J210">
        <v>70</v>
      </c>
    </row>
    <row r="211" spans="2:10">
      <c r="B211" t="s">
        <v>122</v>
      </c>
      <c r="C211" t="s">
        <v>101</v>
      </c>
      <c r="D211" t="s">
        <v>101</v>
      </c>
      <c r="E211" t="s">
        <v>101</v>
      </c>
      <c r="F211" t="s">
        <v>101</v>
      </c>
      <c r="G211" t="s">
        <v>101</v>
      </c>
      <c r="H211" t="s">
        <v>101</v>
      </c>
      <c r="I211" t="s">
        <v>101</v>
      </c>
      <c r="J211" t="s">
        <v>101</v>
      </c>
    </row>
    <row r="212" spans="2:10">
      <c r="B212" t="s">
        <v>123</v>
      </c>
      <c r="C212">
        <v>5</v>
      </c>
      <c r="D212">
        <v>0</v>
      </c>
      <c r="E212">
        <v>1</v>
      </c>
      <c r="F212">
        <v>0</v>
      </c>
      <c r="G212">
        <v>1</v>
      </c>
      <c r="H212">
        <v>0</v>
      </c>
      <c r="I212">
        <v>2</v>
      </c>
      <c r="J212">
        <v>1</v>
      </c>
    </row>
    <row r="213" spans="2:10">
      <c r="B213" t="s">
        <v>124</v>
      </c>
      <c r="C213">
        <v>-409</v>
      </c>
      <c r="D213">
        <v>-10</v>
      </c>
      <c r="E213">
        <v>-34</v>
      </c>
      <c r="F213">
        <v>-193</v>
      </c>
      <c r="G213">
        <v>-710</v>
      </c>
      <c r="H213">
        <v>8</v>
      </c>
      <c r="I213">
        <v>14</v>
      </c>
      <c r="J213">
        <v>1</v>
      </c>
    </row>
    <row r="214" spans="2:10">
      <c r="B214" t="s">
        <v>125</v>
      </c>
      <c r="C214">
        <v>-5</v>
      </c>
      <c r="D214">
        <v>14</v>
      </c>
      <c r="E214">
        <v>38</v>
      </c>
      <c r="F214">
        <v>3</v>
      </c>
      <c r="G214">
        <v>18</v>
      </c>
      <c r="H214">
        <v>3</v>
      </c>
      <c r="I214">
        <v>2</v>
      </c>
      <c r="J214">
        <v>2</v>
      </c>
    </row>
    <row r="215" spans="2:10">
      <c r="B215" t="s">
        <v>126</v>
      </c>
      <c r="C215" s="46">
        <v>1096</v>
      </c>
      <c r="D215">
        <v>-794</v>
      </c>
      <c r="E215" s="46">
        <v>2866</v>
      </c>
      <c r="F215" s="46">
        <v>-2435</v>
      </c>
      <c r="G215">
        <v>589</v>
      </c>
      <c r="H215" s="46">
        <v>-5945</v>
      </c>
      <c r="I215" s="46">
        <v>3431</v>
      </c>
      <c r="J215">
        <v>-670</v>
      </c>
    </row>
    <row r="216" spans="2:10">
      <c r="B216" t="s">
        <v>127</v>
      </c>
      <c r="C216" s="46">
        <v>-5569</v>
      </c>
      <c r="D216" s="46">
        <v>-5743</v>
      </c>
      <c r="E216" s="46">
        <v>2123</v>
      </c>
      <c r="F216" s="46">
        <v>-5138</v>
      </c>
      <c r="G216" s="46">
        <v>-2677</v>
      </c>
      <c r="H216" s="46">
        <v>-7303</v>
      </c>
      <c r="I216" s="46">
        <v>3591</v>
      </c>
      <c r="J216" s="46">
        <v>-1982</v>
      </c>
    </row>
    <row r="217" spans="2:10">
      <c r="B217" t="s">
        <v>128</v>
      </c>
      <c r="C217">
        <v>-844</v>
      </c>
      <c r="D217" s="46">
        <v>5045</v>
      </c>
      <c r="E217" s="46">
        <v>-6702</v>
      </c>
      <c r="F217" s="46">
        <v>2868</v>
      </c>
      <c r="G217" s="46">
        <v>1017</v>
      </c>
      <c r="H217" s="46">
        <v>6477</v>
      </c>
      <c r="I217" s="46">
        <v>-1576</v>
      </c>
      <c r="J217" s="46">
        <v>1647</v>
      </c>
    </row>
    <row r="218" spans="2:10">
      <c r="B218" t="s">
        <v>129</v>
      </c>
      <c r="C218" s="46">
        <v>-4942</v>
      </c>
      <c r="D218" s="46">
        <v>-2552</v>
      </c>
      <c r="E218" s="46">
        <v>3999</v>
      </c>
      <c r="F218" s="46">
        <v>4279</v>
      </c>
      <c r="G218">
        <v>997</v>
      </c>
      <c r="H218" s="46">
        <v>5173</v>
      </c>
      <c r="I218" s="46">
        <v>2749</v>
      </c>
      <c r="J218" s="46">
        <v>2182</v>
      </c>
    </row>
    <row r="219" spans="2:10">
      <c r="B219" t="s">
        <v>19</v>
      </c>
      <c r="C219" s="46">
        <v>-1446</v>
      </c>
      <c r="D219" s="46">
        <v>6000</v>
      </c>
      <c r="E219" s="46">
        <v>10404</v>
      </c>
      <c r="F219" s="46">
        <v>11742</v>
      </c>
      <c r="G219" s="46">
        <v>13044</v>
      </c>
      <c r="H219" s="46">
        <v>9140</v>
      </c>
      <c r="I219" s="46">
        <v>16624</v>
      </c>
      <c r="J219" s="46">
        <v>9971</v>
      </c>
    </row>
    <row r="220" spans="2:10">
      <c r="B220" t="s">
        <v>130</v>
      </c>
      <c r="C220" s="46">
        <v>-1056</v>
      </c>
      <c r="D220">
        <v>-528</v>
      </c>
      <c r="E220">
        <v>-657</v>
      </c>
      <c r="F220" s="46">
        <v>-2581</v>
      </c>
      <c r="G220">
        <v>-10</v>
      </c>
      <c r="H220">
        <v>-269</v>
      </c>
      <c r="I220">
        <v>-217</v>
      </c>
      <c r="J220">
        <v>3</v>
      </c>
    </row>
    <row r="221" spans="2:10">
      <c r="B221" t="s">
        <v>131</v>
      </c>
      <c r="C221">
        <v>0</v>
      </c>
      <c r="D221">
        <v>21</v>
      </c>
      <c r="E221">
        <v>0</v>
      </c>
      <c r="F221">
        <v>0</v>
      </c>
      <c r="G221">
        <v>0</v>
      </c>
      <c r="H221">
        <v>0</v>
      </c>
      <c r="I221">
        <v>6</v>
      </c>
      <c r="J221">
        <v>0</v>
      </c>
    </row>
    <row r="222" spans="2:10">
      <c r="B222" t="s">
        <v>21</v>
      </c>
      <c r="C222">
        <v>-245</v>
      </c>
      <c r="D222">
        <v>-40</v>
      </c>
      <c r="E222">
        <v>-2</v>
      </c>
      <c r="F222">
        <v>-77</v>
      </c>
      <c r="G222">
        <v>-49</v>
      </c>
      <c r="H222">
        <v>-76</v>
      </c>
      <c r="I222">
        <v>-23</v>
      </c>
      <c r="J222">
        <v>11</v>
      </c>
    </row>
    <row r="223" spans="2:10">
      <c r="B223" t="s">
        <v>132</v>
      </c>
      <c r="C223">
        <v>1</v>
      </c>
      <c r="D223">
        <v>3</v>
      </c>
      <c r="E223">
        <v>15</v>
      </c>
      <c r="F223">
        <v>23</v>
      </c>
      <c r="G223">
        <v>4</v>
      </c>
      <c r="H223">
        <v>63</v>
      </c>
      <c r="I223">
        <v>17</v>
      </c>
      <c r="J223">
        <v>19</v>
      </c>
    </row>
    <row r="224" spans="2:10">
      <c r="B224" t="s">
        <v>20</v>
      </c>
      <c r="C224" s="46">
        <v>-1466</v>
      </c>
      <c r="D224" s="46">
        <v>-4511</v>
      </c>
      <c r="E224" s="46">
        <v>-6754</v>
      </c>
      <c r="F224" s="46">
        <v>-1784</v>
      </c>
      <c r="G224">
        <v>-687</v>
      </c>
      <c r="H224">
        <v>-603</v>
      </c>
      <c r="I224">
        <v>-380</v>
      </c>
      <c r="J224">
        <v>-400</v>
      </c>
    </row>
    <row r="225" spans="2:10">
      <c r="B225" t="s">
        <v>133</v>
      </c>
      <c r="C225">
        <v>-319</v>
      </c>
      <c r="D225" s="46">
        <v>-1475</v>
      </c>
      <c r="E225">
        <v>-492</v>
      </c>
      <c r="F225">
        <v>-165</v>
      </c>
      <c r="G225">
        <v>70</v>
      </c>
      <c r="H225">
        <v>-246</v>
      </c>
      <c r="I225">
        <v>-287</v>
      </c>
      <c r="J225">
        <v>18</v>
      </c>
    </row>
    <row r="226" spans="2:10">
      <c r="B226" t="s">
        <v>134</v>
      </c>
      <c r="C226" s="46">
        <v>-5181</v>
      </c>
      <c r="D226" s="46">
        <v>-6955</v>
      </c>
      <c r="E226" s="46">
        <v>-8712</v>
      </c>
      <c r="F226" s="46">
        <v>-4690</v>
      </c>
      <c r="G226">
        <v>22</v>
      </c>
      <c r="H226" s="46">
        <v>31182</v>
      </c>
      <c r="I226" s="46">
        <v>-1164</v>
      </c>
      <c r="J226">
        <v>-374</v>
      </c>
    </row>
    <row r="227" spans="2:10">
      <c r="B227" t="s">
        <v>135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136</v>
      </c>
      <c r="C228">
        <v>0</v>
      </c>
      <c r="D228">
        <v>0</v>
      </c>
      <c r="E228">
        <v>0</v>
      </c>
      <c r="F228" s="46">
        <v>-23448</v>
      </c>
      <c r="G228">
        <v>0</v>
      </c>
      <c r="H228">
        <v>0</v>
      </c>
      <c r="I228">
        <v>0</v>
      </c>
      <c r="J228" s="46">
        <v>-12074</v>
      </c>
    </row>
    <row r="229" spans="2:10">
      <c r="B229" t="s">
        <v>137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138</v>
      </c>
      <c r="C230" s="46">
        <v>6557</v>
      </c>
      <c r="D230" s="46">
        <v>4773</v>
      </c>
      <c r="E230" s="46">
        <v>2707</v>
      </c>
      <c r="F230" s="46">
        <v>9408</v>
      </c>
      <c r="G230" s="46">
        <v>11945</v>
      </c>
      <c r="H230" s="46">
        <v>-6951</v>
      </c>
      <c r="I230" s="46">
        <v>9291</v>
      </c>
      <c r="J230" s="46">
        <v>3646</v>
      </c>
    </row>
    <row r="231" spans="2:10">
      <c r="B231" t="s">
        <v>139</v>
      </c>
      <c r="C231">
        <v>-10</v>
      </c>
      <c r="D231">
        <v>-10</v>
      </c>
      <c r="E231">
        <v>-4</v>
      </c>
      <c r="F231">
        <v>-6</v>
      </c>
      <c r="G231">
        <v>-10</v>
      </c>
      <c r="H231">
        <v>-5</v>
      </c>
      <c r="I231">
        <v>-14</v>
      </c>
      <c r="J231">
        <v>-2</v>
      </c>
    </row>
    <row r="232" spans="2:10">
      <c r="B232" t="s">
        <v>140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141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142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143</v>
      </c>
      <c r="C235">
        <v>84</v>
      </c>
      <c r="D235">
        <v>68</v>
      </c>
      <c r="E235">
        <v>370</v>
      </c>
      <c r="F235">
        <v>174</v>
      </c>
      <c r="G235">
        <v>281</v>
      </c>
      <c r="H235">
        <v>-840</v>
      </c>
      <c r="I235">
        <v>-50</v>
      </c>
      <c r="J235">
        <v>118</v>
      </c>
    </row>
    <row r="236" spans="2:10">
      <c r="B236" t="s">
        <v>144</v>
      </c>
      <c r="C236" s="46">
        <v>6633</v>
      </c>
      <c r="D236" s="46">
        <v>4859</v>
      </c>
      <c r="E236" s="46">
        <v>3086</v>
      </c>
      <c r="F236" s="46">
        <v>-13726</v>
      </c>
      <c r="G236" s="46">
        <v>12228</v>
      </c>
      <c r="H236" s="46">
        <v>-7745</v>
      </c>
      <c r="I236" s="46">
        <v>9310</v>
      </c>
      <c r="J236" s="46">
        <v>-8301</v>
      </c>
    </row>
    <row r="237" spans="2:10">
      <c r="B237" t="s">
        <v>145</v>
      </c>
      <c r="C237">
        <v>-325</v>
      </c>
      <c r="D237">
        <v>-558</v>
      </c>
      <c r="E237" s="46">
        <v>2949</v>
      </c>
      <c r="F237" s="46">
        <v>1607</v>
      </c>
      <c r="G237" s="46">
        <v>-2155</v>
      </c>
      <c r="H237" s="46">
        <v>1424</v>
      </c>
      <c r="I237">
        <v>611</v>
      </c>
      <c r="J237">
        <v>-905</v>
      </c>
    </row>
    <row r="238" spans="2:10">
      <c r="B238" t="s">
        <v>146</v>
      </c>
      <c r="C238">
        <v>-319</v>
      </c>
      <c r="D238" s="46">
        <v>3346</v>
      </c>
      <c r="E238" s="46">
        <v>7727</v>
      </c>
      <c r="F238" s="46">
        <v>-5068</v>
      </c>
      <c r="G238" s="46">
        <v>23139</v>
      </c>
      <c r="H238" s="46">
        <v>34001</v>
      </c>
      <c r="I238" s="46">
        <v>25381</v>
      </c>
      <c r="J238">
        <v>392</v>
      </c>
    </row>
    <row r="239" spans="2:10">
      <c r="B239" t="s">
        <v>147</v>
      </c>
      <c r="C239" s="46">
        <v>196143</v>
      </c>
      <c r="D239" s="46">
        <v>192798</v>
      </c>
      <c r="E239" s="46">
        <v>185070</v>
      </c>
      <c r="F239" s="46">
        <v>190138</v>
      </c>
      <c r="G239" s="46">
        <v>166999</v>
      </c>
      <c r="H239" s="46">
        <v>132998</v>
      </c>
      <c r="I239" s="46">
        <v>107617</v>
      </c>
      <c r="J239" s="46">
        <v>107225</v>
      </c>
    </row>
    <row r="240" spans="2:10">
      <c r="B240" t="s">
        <v>148</v>
      </c>
      <c r="C240" s="46">
        <v>195824</v>
      </c>
      <c r="D240" s="46">
        <v>196143</v>
      </c>
      <c r="E240" s="46">
        <v>192798</v>
      </c>
      <c r="F240" s="46">
        <v>185070</v>
      </c>
      <c r="G240" s="46">
        <v>190138</v>
      </c>
      <c r="H240" s="46">
        <v>166999</v>
      </c>
      <c r="I240" s="46">
        <v>132998</v>
      </c>
      <c r="J240" s="46">
        <v>107617</v>
      </c>
    </row>
    <row r="241" spans="2:10">
      <c r="B241" t="s">
        <v>149</v>
      </c>
      <c r="C241">
        <v>57</v>
      </c>
      <c r="D241">
        <v>133</v>
      </c>
      <c r="E241">
        <v>177</v>
      </c>
      <c r="F241">
        <v>128</v>
      </c>
      <c r="G241">
        <v>84</v>
      </c>
      <c r="H241">
        <v>95</v>
      </c>
      <c r="I241">
        <v>49</v>
      </c>
      <c r="J241">
        <v>33</v>
      </c>
    </row>
    <row r="242" spans="2:10">
      <c r="B242" t="s">
        <v>150</v>
      </c>
      <c r="C242" t="s">
        <v>101</v>
      </c>
      <c r="D242" t="s">
        <v>101</v>
      </c>
      <c r="E242" t="s">
        <v>101</v>
      </c>
      <c r="F242" t="s">
        <v>101</v>
      </c>
      <c r="G242" t="s">
        <v>101</v>
      </c>
      <c r="H242" t="s">
        <v>101</v>
      </c>
      <c r="I242" t="s">
        <v>101</v>
      </c>
      <c r="J242" t="s">
        <v>101</v>
      </c>
    </row>
    <row r="243" spans="2:10">
      <c r="B243" t="s">
        <v>151</v>
      </c>
    </row>
    <row r="244" spans="2:10">
      <c r="B244" t="s">
        <v>152</v>
      </c>
    </row>
    <row r="245" spans="2:10">
      <c r="B245" t="s">
        <v>113</v>
      </c>
    </row>
    <row r="246" spans="2:10">
      <c r="B246" t="s">
        <v>114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1911</v>
      </c>
    </row>
    <row r="3" spans="2:10">
      <c r="B3" t="s">
        <v>48</v>
      </c>
    </row>
    <row r="4" spans="2:10">
      <c r="B4" t="s">
        <v>50</v>
      </c>
      <c r="C4" t="s">
        <v>229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56</v>
      </c>
      <c r="J4" t="s">
        <v>57</v>
      </c>
    </row>
    <row r="5" spans="2:10">
      <c r="B5" t="s">
        <v>10</v>
      </c>
      <c r="C5" s="46">
        <v>12456</v>
      </c>
      <c r="D5" s="46">
        <v>12698</v>
      </c>
      <c r="E5" s="46">
        <v>15109</v>
      </c>
      <c r="F5" s="46">
        <v>15282</v>
      </c>
      <c r="G5" s="46">
        <v>13083</v>
      </c>
      <c r="H5" s="46">
        <v>10593</v>
      </c>
      <c r="I5" s="46">
        <v>10610</v>
      </c>
      <c r="J5" s="46">
        <v>10574</v>
      </c>
    </row>
    <row r="6" spans="2:10">
      <c r="B6" t="s">
        <v>11</v>
      </c>
      <c r="C6" s="46">
        <v>8963</v>
      </c>
      <c r="D6" s="46">
        <v>9000</v>
      </c>
      <c r="E6" s="46">
        <v>10802</v>
      </c>
      <c r="F6" s="46">
        <v>10947</v>
      </c>
      <c r="G6" s="46">
        <v>9308</v>
      </c>
      <c r="H6" s="46">
        <v>7622</v>
      </c>
      <c r="I6" s="46">
        <v>7708</v>
      </c>
      <c r="J6" s="46">
        <v>7616</v>
      </c>
    </row>
    <row r="7" spans="2:10">
      <c r="B7" t="s">
        <v>58</v>
      </c>
      <c r="C7" s="46">
        <v>3494</v>
      </c>
      <c r="D7" s="46">
        <v>3698</v>
      </c>
      <c r="E7" s="46">
        <v>4307</v>
      </c>
      <c r="F7" s="46">
        <v>4335</v>
      </c>
      <c r="G7" s="46">
        <v>3776</v>
      </c>
      <c r="H7" s="46">
        <v>2971</v>
      </c>
      <c r="I7" s="46">
        <v>2902</v>
      </c>
      <c r="J7" s="46">
        <v>2957</v>
      </c>
    </row>
    <row r="8" spans="2:10">
      <c r="B8" t="s">
        <v>59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60</v>
      </c>
      <c r="C9" s="46">
        <v>3494</v>
      </c>
      <c r="D9" s="46">
        <v>3698</v>
      </c>
      <c r="E9" s="46">
        <v>4307</v>
      </c>
      <c r="F9" s="46">
        <v>4335</v>
      </c>
      <c r="G9" s="46">
        <v>3776</v>
      </c>
      <c r="H9" s="46">
        <v>2971</v>
      </c>
      <c r="I9" s="46">
        <v>2902</v>
      </c>
      <c r="J9" s="46">
        <v>2957</v>
      </c>
    </row>
    <row r="10" spans="2:10">
      <c r="B10" t="s">
        <v>61</v>
      </c>
      <c r="C10" s="46">
        <v>1833</v>
      </c>
      <c r="D10" s="46">
        <v>1780</v>
      </c>
      <c r="E10" s="46">
        <v>2046</v>
      </c>
      <c r="F10" s="46">
        <v>2033</v>
      </c>
      <c r="G10" s="46">
        <v>1820</v>
      </c>
      <c r="H10" s="46">
        <v>1582</v>
      </c>
      <c r="I10" s="46">
        <v>1564</v>
      </c>
      <c r="J10" s="46">
        <v>1559</v>
      </c>
    </row>
    <row r="11" spans="2:10">
      <c r="B11" t="s">
        <v>62</v>
      </c>
      <c r="C11">
        <v>66</v>
      </c>
      <c r="D11">
        <v>72</v>
      </c>
      <c r="E11">
        <v>89</v>
      </c>
      <c r="F11">
        <v>98</v>
      </c>
      <c r="G11">
        <v>80</v>
      </c>
      <c r="H11">
        <v>65</v>
      </c>
      <c r="I11">
        <v>72</v>
      </c>
      <c r="J11">
        <v>67</v>
      </c>
    </row>
    <row r="12" spans="2:10">
      <c r="B12" t="s">
        <v>63</v>
      </c>
      <c r="C12">
        <v>311</v>
      </c>
      <c r="D12">
        <v>292</v>
      </c>
      <c r="E12">
        <v>327</v>
      </c>
      <c r="F12">
        <v>311</v>
      </c>
      <c r="G12">
        <v>304</v>
      </c>
      <c r="H12">
        <v>256</v>
      </c>
      <c r="I12">
        <v>270</v>
      </c>
      <c r="J12">
        <v>240</v>
      </c>
    </row>
    <row r="13" spans="2:10">
      <c r="B13" t="s">
        <v>64</v>
      </c>
      <c r="C13" s="46">
        <v>1456</v>
      </c>
      <c r="D13" s="46">
        <v>1417</v>
      </c>
      <c r="E13" s="46">
        <v>1630</v>
      </c>
      <c r="F13" s="46">
        <v>1624</v>
      </c>
      <c r="G13" s="46">
        <v>1437</v>
      </c>
      <c r="H13" s="46">
        <v>1260</v>
      </c>
      <c r="I13" s="46">
        <v>1223</v>
      </c>
      <c r="J13" s="46">
        <v>1253</v>
      </c>
    </row>
    <row r="14" spans="2:10">
      <c r="B14" t="s">
        <v>65</v>
      </c>
      <c r="C14" s="46">
        <v>1660</v>
      </c>
      <c r="D14" s="46">
        <v>1917</v>
      </c>
      <c r="E14" s="46">
        <v>2261</v>
      </c>
      <c r="F14" s="46">
        <v>2301</v>
      </c>
      <c r="G14" s="46">
        <v>1955</v>
      </c>
      <c r="H14" s="46">
        <v>1389</v>
      </c>
      <c r="I14" s="46">
        <v>1338</v>
      </c>
      <c r="J14" s="46">
        <v>1398</v>
      </c>
    </row>
    <row r="15" spans="2:10">
      <c r="B15" t="s">
        <v>66</v>
      </c>
      <c r="C15">
        <v>42</v>
      </c>
      <c r="D15">
        <v>42</v>
      </c>
      <c r="E15">
        <v>41</v>
      </c>
      <c r="F15">
        <v>45</v>
      </c>
      <c r="G15">
        <v>43</v>
      </c>
      <c r="H15">
        <v>41</v>
      </c>
      <c r="I15">
        <v>38</v>
      </c>
      <c r="J15">
        <v>42</v>
      </c>
    </row>
    <row r="16" spans="2:10">
      <c r="B16" t="s">
        <v>67</v>
      </c>
      <c r="C16">
        <v>0</v>
      </c>
      <c r="D16">
        <v>0</v>
      </c>
      <c r="E16">
        <v>11</v>
      </c>
      <c r="F16">
        <v>7</v>
      </c>
      <c r="G16">
        <v>0</v>
      </c>
      <c r="H16">
        <v>0</v>
      </c>
      <c r="I16">
        <v>0</v>
      </c>
      <c r="J16">
        <v>9</v>
      </c>
    </row>
    <row r="17" spans="2:10">
      <c r="B17" t="s">
        <v>68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9</v>
      </c>
      <c r="J17">
        <v>0</v>
      </c>
    </row>
    <row r="18" spans="2:10">
      <c r="B18" t="s">
        <v>69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70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71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76</v>
      </c>
      <c r="C25">
        <v>1</v>
      </c>
      <c r="D25">
        <v>0</v>
      </c>
      <c r="E25">
        <v>116</v>
      </c>
      <c r="F25">
        <v>62</v>
      </c>
      <c r="G25">
        <v>17</v>
      </c>
      <c r="H25">
        <v>35</v>
      </c>
      <c r="I25">
        <v>51</v>
      </c>
      <c r="J25">
        <v>13</v>
      </c>
    </row>
    <row r="26" spans="2:10">
      <c r="B26" t="s">
        <v>77</v>
      </c>
      <c r="C26">
        <v>0</v>
      </c>
      <c r="D26">
        <v>0</v>
      </c>
      <c r="E26">
        <v>6</v>
      </c>
      <c r="F26">
        <v>9</v>
      </c>
      <c r="G26">
        <v>4</v>
      </c>
      <c r="H26">
        <v>2</v>
      </c>
      <c r="I26">
        <v>1</v>
      </c>
      <c r="J26">
        <v>10</v>
      </c>
    </row>
    <row r="27" spans="2:10">
      <c r="B27" t="s">
        <v>78</v>
      </c>
      <c r="C27">
        <v>44</v>
      </c>
      <c r="D27">
        <v>42</v>
      </c>
      <c r="E27">
        <v>174</v>
      </c>
      <c r="F27">
        <v>123</v>
      </c>
      <c r="G27">
        <v>64</v>
      </c>
      <c r="H27">
        <v>78</v>
      </c>
      <c r="I27">
        <v>99</v>
      </c>
      <c r="J27">
        <v>76</v>
      </c>
    </row>
    <row r="28" spans="2:10">
      <c r="B28" t="s">
        <v>79</v>
      </c>
      <c r="C28">
        <v>8</v>
      </c>
      <c r="D28">
        <v>8</v>
      </c>
      <c r="E28">
        <v>12</v>
      </c>
      <c r="F28">
        <v>14</v>
      </c>
      <c r="G28">
        <v>13</v>
      </c>
      <c r="H28">
        <v>13</v>
      </c>
      <c r="I28">
        <v>11</v>
      </c>
      <c r="J28">
        <v>11</v>
      </c>
    </row>
    <row r="29" spans="2:10">
      <c r="B29" t="s">
        <v>80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81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82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87</v>
      </c>
      <c r="C36">
        <v>0</v>
      </c>
      <c r="D36">
        <v>0</v>
      </c>
      <c r="E36">
        <v>5</v>
      </c>
      <c r="F36">
        <v>0</v>
      </c>
      <c r="G36">
        <v>0</v>
      </c>
      <c r="H36">
        <v>9</v>
      </c>
      <c r="I36">
        <v>0</v>
      </c>
      <c r="J36">
        <v>0</v>
      </c>
    </row>
    <row r="37" spans="2:10">
      <c r="B37" t="s">
        <v>88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89</v>
      </c>
      <c r="C38">
        <v>-15</v>
      </c>
      <c r="D38">
        <v>15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90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91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</row>
    <row r="41" spans="2:10">
      <c r="B41" t="s">
        <v>92</v>
      </c>
      <c r="C41">
        <v>-6</v>
      </c>
      <c r="D41">
        <v>24</v>
      </c>
      <c r="E41">
        <v>17</v>
      </c>
      <c r="F41">
        <v>15</v>
      </c>
      <c r="G41">
        <v>13</v>
      </c>
      <c r="H41">
        <v>22</v>
      </c>
      <c r="I41">
        <v>12</v>
      </c>
      <c r="J41">
        <v>12</v>
      </c>
    </row>
    <row r="42" spans="2:10">
      <c r="B42" t="s">
        <v>93</v>
      </c>
      <c r="C42" s="46">
        <v>1710</v>
      </c>
      <c r="D42" s="46">
        <v>1935</v>
      </c>
      <c r="E42" s="46">
        <v>2418</v>
      </c>
      <c r="F42" s="46">
        <v>2409</v>
      </c>
      <c r="G42" s="46">
        <v>2006</v>
      </c>
      <c r="H42" s="46">
        <v>1444</v>
      </c>
      <c r="I42" s="46">
        <v>1426</v>
      </c>
      <c r="J42" s="46">
        <v>1462</v>
      </c>
    </row>
    <row r="43" spans="2:10">
      <c r="B43" t="s">
        <v>94</v>
      </c>
      <c r="C43">
        <v>225</v>
      </c>
      <c r="D43">
        <v>236</v>
      </c>
      <c r="E43">
        <v>330</v>
      </c>
      <c r="F43">
        <v>322</v>
      </c>
      <c r="G43">
        <v>239</v>
      </c>
      <c r="H43">
        <v>177</v>
      </c>
      <c r="I43">
        <v>235</v>
      </c>
      <c r="J43">
        <v>222</v>
      </c>
    </row>
    <row r="44" spans="2:10">
      <c r="B44" t="s">
        <v>95</v>
      </c>
      <c r="C44" s="46">
        <v>1485</v>
      </c>
      <c r="D44" s="46">
        <v>1700</v>
      </c>
      <c r="E44" s="46">
        <v>2087</v>
      </c>
      <c r="F44" s="46">
        <v>2088</v>
      </c>
      <c r="G44" s="46">
        <v>1767</v>
      </c>
      <c r="H44" s="46">
        <v>1267</v>
      </c>
      <c r="I44" s="46">
        <v>1191</v>
      </c>
      <c r="J44" s="46">
        <v>1239</v>
      </c>
    </row>
    <row r="45" spans="2:10">
      <c r="B45" t="s">
        <v>96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99</v>
      </c>
      <c r="C48" s="46">
        <v>1485</v>
      </c>
      <c r="D48" s="46">
        <v>1700</v>
      </c>
      <c r="E48" s="46">
        <v>2087</v>
      </c>
      <c r="F48" s="46">
        <v>2088</v>
      </c>
      <c r="G48" s="46">
        <v>1767</v>
      </c>
      <c r="H48" s="46">
        <v>1267</v>
      </c>
      <c r="I48" s="46">
        <v>1191</v>
      </c>
      <c r="J48" s="46">
        <v>1239</v>
      </c>
    </row>
    <row r="49" spans="2:10">
      <c r="B49" t="s">
        <v>100</v>
      </c>
      <c r="C49" t="s">
        <v>101</v>
      </c>
      <c r="D49" t="s">
        <v>101</v>
      </c>
      <c r="E49" t="s">
        <v>101</v>
      </c>
      <c r="F49" t="s">
        <v>101</v>
      </c>
      <c r="G49" t="s">
        <v>101</v>
      </c>
      <c r="H49" t="s">
        <v>101</v>
      </c>
      <c r="I49" t="s">
        <v>101</v>
      </c>
      <c r="J49" t="s">
        <v>101</v>
      </c>
    </row>
    <row r="50" spans="2:10">
      <c r="B50" t="s">
        <v>102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 s="46">
        <v>1485</v>
      </c>
      <c r="D52" s="46">
        <v>1700</v>
      </c>
      <c r="E52" s="46">
        <v>2087</v>
      </c>
      <c r="F52" s="46">
        <v>2088</v>
      </c>
      <c r="G52" s="46">
        <v>1767</v>
      </c>
      <c r="H52" s="46">
        <v>1267</v>
      </c>
      <c r="I52" s="46">
        <v>1191</v>
      </c>
      <c r="J52" s="46">
        <v>1239</v>
      </c>
    </row>
    <row r="53" spans="2:10">
      <c r="B53" t="s">
        <v>14</v>
      </c>
      <c r="C53">
        <v>2.44</v>
      </c>
      <c r="D53">
        <v>2.79</v>
      </c>
      <c r="E53">
        <v>3.43</v>
      </c>
      <c r="F53">
        <v>3.43</v>
      </c>
      <c r="G53">
        <v>2.9</v>
      </c>
      <c r="H53">
        <v>2.08</v>
      </c>
      <c r="I53">
        <v>1.96</v>
      </c>
      <c r="J53">
        <v>2.04</v>
      </c>
    </row>
    <row r="54" spans="2:10">
      <c r="B54" t="s">
        <v>104</v>
      </c>
      <c r="C54">
        <v>2.44</v>
      </c>
      <c r="D54">
        <v>2.79</v>
      </c>
      <c r="E54" t="s">
        <v>101</v>
      </c>
      <c r="F54">
        <v>3.43</v>
      </c>
      <c r="G54">
        <v>2.88</v>
      </c>
      <c r="H54">
        <v>2.06</v>
      </c>
      <c r="I54" t="s">
        <v>101</v>
      </c>
      <c r="J54">
        <v>2.02</v>
      </c>
    </row>
    <row r="55" spans="2:10">
      <c r="B55" t="s">
        <v>105</v>
      </c>
      <c r="C55" s="46">
        <v>6085</v>
      </c>
      <c r="D55" s="46">
        <v>6085</v>
      </c>
      <c r="E55" s="46">
        <v>6085</v>
      </c>
      <c r="F55" s="46">
        <v>6085</v>
      </c>
      <c r="G55" s="46">
        <v>6085</v>
      </c>
      <c r="H55" s="46">
        <v>6085</v>
      </c>
      <c r="I55" s="46">
        <v>6072</v>
      </c>
      <c r="J55" s="46">
        <v>6074</v>
      </c>
    </row>
    <row r="56" spans="2:10">
      <c r="B56" t="s">
        <v>106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107</v>
      </c>
      <c r="C57" t="s">
        <v>101</v>
      </c>
      <c r="D57" t="s">
        <v>101</v>
      </c>
      <c r="E57">
        <v>0</v>
      </c>
      <c r="F57" t="s">
        <v>101</v>
      </c>
      <c r="G57" t="s">
        <v>101</v>
      </c>
      <c r="H57" t="s">
        <v>101</v>
      </c>
      <c r="I57">
        <v>0</v>
      </c>
      <c r="J57" t="s">
        <v>101</v>
      </c>
    </row>
    <row r="58" spans="2:10">
      <c r="B58" t="s">
        <v>108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110</v>
      </c>
      <c r="C60" s="46">
        <v>1718</v>
      </c>
      <c r="D60" s="46">
        <v>1944</v>
      </c>
      <c r="E60" s="46">
        <v>2430</v>
      </c>
      <c r="F60" s="46">
        <v>2424</v>
      </c>
      <c r="G60" s="46">
        <v>2019</v>
      </c>
      <c r="H60" s="46">
        <v>1457</v>
      </c>
      <c r="I60" s="46">
        <v>1436</v>
      </c>
      <c r="J60" s="46">
        <v>1473</v>
      </c>
    </row>
    <row r="61" spans="2:10">
      <c r="B61" t="s">
        <v>111</v>
      </c>
      <c r="C61" s="46">
        <v>1833</v>
      </c>
      <c r="D61" s="46">
        <v>2058</v>
      </c>
      <c r="E61" s="46">
        <v>2536</v>
      </c>
      <c r="F61" s="46">
        <v>2528</v>
      </c>
      <c r="G61" s="46">
        <v>2122</v>
      </c>
      <c r="H61" s="46">
        <v>1564</v>
      </c>
      <c r="I61" s="46">
        <v>1546</v>
      </c>
      <c r="J61" s="46">
        <v>1585</v>
      </c>
    </row>
    <row r="62" spans="2:10">
      <c r="B62" t="s">
        <v>112</v>
      </c>
      <c r="C62" s="46">
        <v>1485</v>
      </c>
      <c r="D62" s="46">
        <v>1700</v>
      </c>
      <c r="E62" s="46">
        <v>2092</v>
      </c>
      <c r="F62" s="46">
        <v>2088</v>
      </c>
      <c r="G62" s="46">
        <v>1767</v>
      </c>
      <c r="H62" s="46">
        <v>1276</v>
      </c>
      <c r="I62" s="46">
        <v>1182</v>
      </c>
      <c r="J62" s="46">
        <v>1239</v>
      </c>
    </row>
    <row r="63" spans="2:10">
      <c r="B63" t="s">
        <v>113</v>
      </c>
    </row>
    <row r="64" spans="2:10">
      <c r="B64" t="s">
        <v>114</v>
      </c>
    </row>
    <row r="101" spans="2:10">
      <c r="B101" t="s">
        <v>1912</v>
      </c>
    </row>
    <row r="102" spans="2:10">
      <c r="B102" t="s">
        <v>48</v>
      </c>
    </row>
    <row r="103" spans="2:10">
      <c r="B103" t="s">
        <v>50</v>
      </c>
      <c r="C103" t="s">
        <v>229</v>
      </c>
      <c r="D103" t="s">
        <v>51</v>
      </c>
      <c r="E103" t="s">
        <v>52</v>
      </c>
      <c r="F103" t="s">
        <v>53</v>
      </c>
      <c r="G103" t="s">
        <v>54</v>
      </c>
      <c r="H103" t="s">
        <v>55</v>
      </c>
      <c r="I103" t="s">
        <v>56</v>
      </c>
      <c r="J103" t="s">
        <v>57</v>
      </c>
    </row>
    <row r="104" spans="2:10">
      <c r="B104" t="s">
        <v>155</v>
      </c>
      <c r="C104" s="46">
        <v>20767</v>
      </c>
      <c r="D104" s="46">
        <v>21823</v>
      </c>
      <c r="E104" s="46">
        <v>20013</v>
      </c>
      <c r="F104" s="46">
        <v>19083</v>
      </c>
      <c r="G104" s="46">
        <v>20876</v>
      </c>
      <c r="H104" s="46">
        <v>20017</v>
      </c>
      <c r="I104" s="46">
        <v>18292</v>
      </c>
      <c r="J104" s="46">
        <v>17124</v>
      </c>
    </row>
    <row r="105" spans="2:10">
      <c r="B105" t="s">
        <v>156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193</v>
      </c>
      <c r="C106" s="46">
        <v>11082</v>
      </c>
      <c r="D106" s="46">
        <v>12063</v>
      </c>
      <c r="E106" s="46">
        <v>14102</v>
      </c>
      <c r="F106" s="46">
        <v>14637</v>
      </c>
      <c r="G106" s="46">
        <v>12347</v>
      </c>
      <c r="H106" s="46">
        <v>10985</v>
      </c>
      <c r="I106" s="46">
        <v>10778</v>
      </c>
      <c r="J106" s="46">
        <v>10760</v>
      </c>
    </row>
    <row r="107" spans="2:10">
      <c r="B107" t="s">
        <v>157</v>
      </c>
      <c r="C107">
        <v>101</v>
      </c>
      <c r="D107">
        <v>207</v>
      </c>
      <c r="E107">
        <v>248</v>
      </c>
      <c r="F107">
        <v>237</v>
      </c>
      <c r="G107">
        <v>242</v>
      </c>
      <c r="H107">
        <v>211</v>
      </c>
      <c r="I107">
        <v>148</v>
      </c>
      <c r="J107">
        <v>206</v>
      </c>
    </row>
    <row r="108" spans="2:10">
      <c r="B108" t="s">
        <v>194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6299</v>
      </c>
      <c r="D109" s="46">
        <v>6980</v>
      </c>
      <c r="E109" s="46">
        <v>6160</v>
      </c>
      <c r="F109" s="46">
        <v>6676</v>
      </c>
      <c r="G109" s="46">
        <v>6404</v>
      </c>
      <c r="H109" s="46">
        <v>5472</v>
      </c>
      <c r="I109" s="46">
        <v>4362</v>
      </c>
      <c r="J109" s="46">
        <v>5226</v>
      </c>
    </row>
    <row r="110" spans="2:10">
      <c r="B110" t="s">
        <v>195</v>
      </c>
      <c r="C110" t="s">
        <v>101</v>
      </c>
      <c r="D110" t="s">
        <v>101</v>
      </c>
      <c r="E110" t="s">
        <v>101</v>
      </c>
      <c r="F110" t="s">
        <v>101</v>
      </c>
      <c r="G110" t="s">
        <v>101</v>
      </c>
      <c r="H110" t="s">
        <v>101</v>
      </c>
      <c r="I110" t="s">
        <v>101</v>
      </c>
      <c r="J110" t="s">
        <v>101</v>
      </c>
    </row>
    <row r="111" spans="2:10">
      <c r="B111" t="s">
        <v>158</v>
      </c>
      <c r="C111">
        <v>144</v>
      </c>
      <c r="D111">
        <v>128</v>
      </c>
      <c r="E111">
        <v>143</v>
      </c>
      <c r="F111">
        <v>103</v>
      </c>
      <c r="G111">
        <v>123</v>
      </c>
      <c r="H111">
        <v>123</v>
      </c>
      <c r="I111">
        <v>148</v>
      </c>
      <c r="J111">
        <v>107</v>
      </c>
    </row>
    <row r="112" spans="2:10">
      <c r="B112" t="s">
        <v>159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160</v>
      </c>
      <c r="C113" s="46">
        <v>38393</v>
      </c>
      <c r="D113" s="46">
        <v>41201</v>
      </c>
      <c r="E113" s="46">
        <v>40666</v>
      </c>
      <c r="F113" s="46">
        <v>40736</v>
      </c>
      <c r="G113" s="46">
        <v>39992</v>
      </c>
      <c r="H113" s="46">
        <v>36808</v>
      </c>
      <c r="I113" s="46">
        <v>33727</v>
      </c>
      <c r="J113" s="46">
        <v>33422</v>
      </c>
    </row>
    <row r="114" spans="2:10">
      <c r="B114" t="s">
        <v>161</v>
      </c>
      <c r="C114" s="46">
        <v>1514</v>
      </c>
      <c r="D114" s="46">
        <v>1520</v>
      </c>
      <c r="E114" s="46">
        <v>1437</v>
      </c>
      <c r="F114" s="46">
        <v>1469</v>
      </c>
      <c r="G114" s="46">
        <v>1487</v>
      </c>
      <c r="H114" s="46">
        <v>1470</v>
      </c>
      <c r="I114" s="46">
        <v>1427</v>
      </c>
      <c r="J114" s="46">
        <v>1449</v>
      </c>
    </row>
    <row r="115" spans="2:10">
      <c r="B115" t="s">
        <v>162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163</v>
      </c>
      <c r="C116" s="46">
        <v>1698</v>
      </c>
      <c r="D116" s="46">
        <v>1697</v>
      </c>
      <c r="E116" s="46">
        <v>1696</v>
      </c>
      <c r="F116" s="46">
        <v>1695</v>
      </c>
      <c r="G116" s="46">
        <v>1694</v>
      </c>
      <c r="H116" s="46">
        <v>1694</v>
      </c>
      <c r="I116" s="46">
        <v>1694</v>
      </c>
      <c r="J116" s="46">
        <v>1694</v>
      </c>
    </row>
    <row r="117" spans="2:10">
      <c r="B117" t="s">
        <v>164</v>
      </c>
      <c r="C117">
        <v>927</v>
      </c>
      <c r="D117">
        <v>887</v>
      </c>
      <c r="E117">
        <v>942</v>
      </c>
      <c r="F117">
        <v>896</v>
      </c>
      <c r="G117">
        <v>825</v>
      </c>
      <c r="H117">
        <v>808</v>
      </c>
      <c r="I117">
        <v>865</v>
      </c>
      <c r="J117">
        <v>802</v>
      </c>
    </row>
    <row r="118" spans="2:10">
      <c r="B118" t="s">
        <v>165</v>
      </c>
      <c r="C118">
        <v>59</v>
      </c>
      <c r="D118">
        <v>59</v>
      </c>
      <c r="E118">
        <v>64</v>
      </c>
      <c r="F118">
        <v>64</v>
      </c>
      <c r="G118">
        <v>62</v>
      </c>
      <c r="H118">
        <v>61</v>
      </c>
      <c r="I118">
        <v>70</v>
      </c>
      <c r="J118">
        <v>67</v>
      </c>
    </row>
    <row r="119" spans="2:10">
      <c r="B119" t="s">
        <v>166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167</v>
      </c>
      <c r="C120" s="46">
        <v>-1327</v>
      </c>
      <c r="D120" s="46">
        <v>-1266</v>
      </c>
      <c r="E120" s="46">
        <v>-1289</v>
      </c>
      <c r="F120" s="46">
        <v>-1225</v>
      </c>
      <c r="G120" s="46">
        <v>-1158</v>
      </c>
      <c r="H120" s="46">
        <v>-1092</v>
      </c>
      <c r="I120" s="46">
        <v>-1106</v>
      </c>
      <c r="J120" s="46">
        <v>-1041</v>
      </c>
    </row>
    <row r="121" spans="2:10">
      <c r="B121" t="s">
        <v>168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169</v>
      </c>
      <c r="C122">
        <v>608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170</v>
      </c>
      <c r="C123" s="46">
        <v>1965</v>
      </c>
      <c r="D123" s="46">
        <v>1376</v>
      </c>
      <c r="E123" s="46">
        <v>1413</v>
      </c>
      <c r="F123" s="46">
        <v>1431</v>
      </c>
      <c r="G123" s="46">
        <v>1424</v>
      </c>
      <c r="H123" s="46">
        <v>1470</v>
      </c>
      <c r="I123" s="46">
        <v>1522</v>
      </c>
      <c r="J123" s="46">
        <v>1522</v>
      </c>
    </row>
    <row r="124" spans="2:10">
      <c r="B124" t="s">
        <v>171</v>
      </c>
      <c r="C124">
        <v>276</v>
      </c>
      <c r="D124">
        <v>302</v>
      </c>
      <c r="E124">
        <v>251</v>
      </c>
      <c r="F124">
        <v>275</v>
      </c>
      <c r="G124">
        <v>297</v>
      </c>
      <c r="H124">
        <v>251</v>
      </c>
      <c r="I124">
        <v>241</v>
      </c>
      <c r="J124">
        <v>278</v>
      </c>
    </row>
    <row r="125" spans="2:10">
      <c r="B125" t="s">
        <v>172</v>
      </c>
      <c r="C125">
        <v>524</v>
      </c>
      <c r="D125">
        <v>569</v>
      </c>
      <c r="E125">
        <v>466</v>
      </c>
      <c r="F125">
        <v>364</v>
      </c>
      <c r="G125">
        <v>368</v>
      </c>
      <c r="H125">
        <v>362</v>
      </c>
      <c r="I125">
        <v>383</v>
      </c>
      <c r="J125">
        <v>394</v>
      </c>
    </row>
    <row r="126" spans="2:10">
      <c r="B126" t="s">
        <v>173</v>
      </c>
      <c r="C126">
        <v>18</v>
      </c>
      <c r="D126">
        <v>19</v>
      </c>
      <c r="E126">
        <v>19</v>
      </c>
      <c r="F126">
        <v>19</v>
      </c>
      <c r="G126">
        <v>17</v>
      </c>
      <c r="H126">
        <v>16</v>
      </c>
      <c r="I126">
        <v>16</v>
      </c>
      <c r="J126">
        <v>23</v>
      </c>
    </row>
    <row r="127" spans="2:10">
      <c r="B127" t="s">
        <v>174</v>
      </c>
      <c r="C127" s="46">
        <v>2498</v>
      </c>
      <c r="D127" s="46">
        <v>2570</v>
      </c>
      <c r="E127" s="46">
        <v>2416</v>
      </c>
      <c r="F127" s="46">
        <v>2338</v>
      </c>
      <c r="G127" s="46">
        <v>2362</v>
      </c>
      <c r="H127" s="46">
        <v>2309</v>
      </c>
      <c r="I127" s="46">
        <v>2320</v>
      </c>
      <c r="J127" s="46">
        <v>2374</v>
      </c>
    </row>
    <row r="128" spans="2:10">
      <c r="B128" t="s">
        <v>18</v>
      </c>
      <c r="C128" s="46">
        <v>44369</v>
      </c>
      <c r="D128" s="46">
        <v>46667</v>
      </c>
      <c r="E128" s="46">
        <v>45931</v>
      </c>
      <c r="F128" s="46">
        <v>45973</v>
      </c>
      <c r="G128" s="46">
        <v>45265</v>
      </c>
      <c r="H128" s="46">
        <v>42057</v>
      </c>
      <c r="I128" s="46">
        <v>38996</v>
      </c>
      <c r="J128" s="46">
        <v>38767</v>
      </c>
    </row>
    <row r="129" spans="2:10">
      <c r="B129" t="s">
        <v>196</v>
      </c>
      <c r="C129" s="46">
        <v>4752</v>
      </c>
      <c r="D129" s="46">
        <v>5697</v>
      </c>
      <c r="E129" s="46">
        <v>6362</v>
      </c>
      <c r="F129" s="46">
        <v>8305</v>
      </c>
      <c r="G129" s="46">
        <v>8064</v>
      </c>
      <c r="H129" s="46">
        <v>6673</v>
      </c>
      <c r="I129" s="46">
        <v>6348</v>
      </c>
      <c r="J129" s="46">
        <v>7097</v>
      </c>
    </row>
    <row r="130" spans="2:10">
      <c r="B130" t="s">
        <v>197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5848</v>
      </c>
      <c r="D131" s="46">
        <v>6114</v>
      </c>
      <c r="E131" s="46">
        <v>7027</v>
      </c>
      <c r="F131" s="46">
        <v>7468</v>
      </c>
      <c r="G131" s="46">
        <v>6405</v>
      </c>
      <c r="H131" s="46">
        <v>5923</v>
      </c>
      <c r="I131" s="46">
        <v>4991</v>
      </c>
      <c r="J131" s="46">
        <v>5029</v>
      </c>
    </row>
    <row r="132" spans="2:10">
      <c r="B132" t="s">
        <v>175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176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177</v>
      </c>
      <c r="C134" s="46">
        <v>7569</v>
      </c>
      <c r="D134" s="46">
        <v>3243</v>
      </c>
      <c r="E134" s="46">
        <v>2993</v>
      </c>
      <c r="F134" s="46">
        <v>3017</v>
      </c>
      <c r="G134" s="46">
        <v>5950</v>
      </c>
      <c r="H134" s="46">
        <v>2358</v>
      </c>
      <c r="I134" s="46">
        <v>2058</v>
      </c>
      <c r="J134" s="46">
        <v>2418</v>
      </c>
    </row>
    <row r="135" spans="2:10">
      <c r="B135" t="s">
        <v>178</v>
      </c>
      <c r="C135">
        <v>475</v>
      </c>
      <c r="D135" s="46">
        <v>1281</v>
      </c>
      <c r="E135" s="46">
        <v>1002</v>
      </c>
      <c r="F135">
        <v>704</v>
      </c>
      <c r="G135">
        <v>465</v>
      </c>
      <c r="H135">
        <v>860</v>
      </c>
      <c r="I135">
        <v>681</v>
      </c>
      <c r="J135">
        <v>495</v>
      </c>
    </row>
    <row r="136" spans="2:10">
      <c r="B136" t="s">
        <v>179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180</v>
      </c>
      <c r="C137">
        <v>62</v>
      </c>
      <c r="D137">
        <v>54</v>
      </c>
      <c r="E137">
        <v>52</v>
      </c>
      <c r="F137">
        <v>66</v>
      </c>
      <c r="G137">
        <v>63</v>
      </c>
      <c r="H137">
        <v>59</v>
      </c>
      <c r="I137">
        <v>58</v>
      </c>
      <c r="J137">
        <v>64</v>
      </c>
    </row>
    <row r="138" spans="2:10">
      <c r="B138" t="s">
        <v>181</v>
      </c>
      <c r="C138" s="46">
        <v>18706</v>
      </c>
      <c r="D138" s="46">
        <v>16388</v>
      </c>
      <c r="E138" s="46">
        <v>17435</v>
      </c>
      <c r="F138" s="46">
        <v>19560</v>
      </c>
      <c r="G138" s="46">
        <v>20947</v>
      </c>
      <c r="H138" s="46">
        <v>15873</v>
      </c>
      <c r="I138" s="46">
        <v>14135</v>
      </c>
      <c r="J138" s="46">
        <v>15103</v>
      </c>
    </row>
    <row r="139" spans="2:10">
      <c r="B139" t="s">
        <v>182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184</v>
      </c>
      <c r="C141">
        <v>128</v>
      </c>
      <c r="D141">
        <v>129</v>
      </c>
      <c r="E141">
        <v>130</v>
      </c>
      <c r="F141">
        <v>118</v>
      </c>
      <c r="G141">
        <v>119</v>
      </c>
      <c r="H141">
        <v>120</v>
      </c>
      <c r="I141">
        <v>121</v>
      </c>
      <c r="J141">
        <v>144</v>
      </c>
    </row>
    <row r="142" spans="2:10">
      <c r="B142" t="s">
        <v>185</v>
      </c>
      <c r="C142">
        <v>147</v>
      </c>
      <c r="D142">
        <v>143</v>
      </c>
      <c r="E142">
        <v>139</v>
      </c>
      <c r="F142">
        <v>135</v>
      </c>
      <c r="G142">
        <v>130</v>
      </c>
      <c r="H142">
        <v>126</v>
      </c>
      <c r="I142">
        <v>122</v>
      </c>
      <c r="J142">
        <v>117</v>
      </c>
    </row>
    <row r="143" spans="2:10">
      <c r="B143" t="s">
        <v>186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188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189</v>
      </c>
      <c r="C146">
        <v>275</v>
      </c>
      <c r="D146">
        <v>272</v>
      </c>
      <c r="E146">
        <v>269</v>
      </c>
      <c r="F146">
        <v>253</v>
      </c>
      <c r="G146">
        <v>249</v>
      </c>
      <c r="H146">
        <v>246</v>
      </c>
      <c r="I146">
        <v>242</v>
      </c>
      <c r="J146">
        <v>261</v>
      </c>
    </row>
    <row r="147" spans="2:10">
      <c r="B147" t="s">
        <v>17</v>
      </c>
      <c r="C147" s="46">
        <v>18982</v>
      </c>
      <c r="D147" s="46">
        <v>16660</v>
      </c>
      <c r="E147" s="46">
        <v>17704</v>
      </c>
      <c r="F147" s="46">
        <v>19812</v>
      </c>
      <c r="G147" s="46">
        <v>21196</v>
      </c>
      <c r="H147" s="46">
        <v>16119</v>
      </c>
      <c r="I147" s="46">
        <v>14378</v>
      </c>
      <c r="J147" s="46">
        <v>15364</v>
      </c>
    </row>
    <row r="148" spans="2:10">
      <c r="B148" t="s">
        <v>190</v>
      </c>
      <c r="C148" s="46">
        <v>25388</v>
      </c>
      <c r="D148" s="46">
        <v>30007</v>
      </c>
      <c r="E148" s="46">
        <v>28227</v>
      </c>
      <c r="F148" s="46">
        <v>26161</v>
      </c>
      <c r="G148" s="46">
        <v>24069</v>
      </c>
      <c r="H148" s="46">
        <v>25938</v>
      </c>
      <c r="I148" s="46">
        <v>24619</v>
      </c>
      <c r="J148" s="46">
        <v>23403</v>
      </c>
    </row>
    <row r="149" spans="2:10">
      <c r="B149" t="s">
        <v>198</v>
      </c>
      <c r="C149" s="46">
        <v>6085</v>
      </c>
      <c r="D149" s="46">
        <v>6085</v>
      </c>
      <c r="E149" s="46">
        <v>6085</v>
      </c>
      <c r="F149" s="46">
        <v>6085</v>
      </c>
      <c r="G149" s="46">
        <v>6085</v>
      </c>
      <c r="H149" s="46">
        <v>6085</v>
      </c>
      <c r="I149" s="46">
        <v>6085</v>
      </c>
      <c r="J149" s="46">
        <v>6082</v>
      </c>
    </row>
    <row r="150" spans="2:10">
      <c r="B150" t="s">
        <v>199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200</v>
      </c>
      <c r="C151" s="46">
        <v>3288</v>
      </c>
      <c r="D151" s="46">
        <v>3288</v>
      </c>
      <c r="E151" s="46">
        <v>3288</v>
      </c>
      <c r="F151" s="46">
        <v>3288</v>
      </c>
      <c r="G151" s="46">
        <v>3288</v>
      </c>
      <c r="H151" s="46">
        <v>3288</v>
      </c>
      <c r="I151" s="46">
        <v>3288</v>
      </c>
      <c r="J151" s="46">
        <v>3282</v>
      </c>
    </row>
    <row r="152" spans="2:10">
      <c r="B152" t="s">
        <v>201</v>
      </c>
      <c r="C152" s="46">
        <v>6154</v>
      </c>
      <c r="D152" s="46">
        <v>5433</v>
      </c>
      <c r="E152" s="46">
        <v>5433</v>
      </c>
      <c r="F152" s="46">
        <v>5433</v>
      </c>
      <c r="G152" s="46">
        <v>5433</v>
      </c>
      <c r="H152" s="46">
        <v>4958</v>
      </c>
      <c r="I152" s="46">
        <v>4958</v>
      </c>
      <c r="J152" s="46">
        <v>4958</v>
      </c>
    </row>
    <row r="153" spans="2:10">
      <c r="B153" t="s">
        <v>202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18</v>
      </c>
      <c r="I153">
        <v>18</v>
      </c>
      <c r="J153">
        <v>18</v>
      </c>
    </row>
    <row r="154" spans="2:10">
      <c r="B154" t="s">
        <v>203</v>
      </c>
      <c r="C154" s="46">
        <v>9647</v>
      </c>
      <c r="D154" s="46">
        <v>14968</v>
      </c>
      <c r="E154" s="46">
        <v>13268</v>
      </c>
      <c r="F154" s="46">
        <v>11193</v>
      </c>
      <c r="G154" s="46">
        <v>9105</v>
      </c>
      <c r="H154" s="46">
        <v>11446</v>
      </c>
      <c r="I154" s="46">
        <v>10179</v>
      </c>
      <c r="J154" s="46">
        <v>8966</v>
      </c>
    </row>
    <row r="155" spans="2:10">
      <c r="B155" t="s">
        <v>204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191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192</v>
      </c>
      <c r="C157" s="46">
        <v>44369</v>
      </c>
      <c r="D157" s="46">
        <v>46667</v>
      </c>
      <c r="E157" s="46">
        <v>45931</v>
      </c>
      <c r="F157" s="46">
        <v>45973</v>
      </c>
      <c r="G157" s="46">
        <v>45265</v>
      </c>
      <c r="H157" s="46">
        <v>42057</v>
      </c>
      <c r="I157" s="46">
        <v>38996</v>
      </c>
      <c r="J157" s="46">
        <v>38767</v>
      </c>
    </row>
    <row r="158" spans="2:10">
      <c r="B158" t="s">
        <v>113</v>
      </c>
    </row>
    <row r="159" spans="2:10">
      <c r="B159" t="s">
        <v>114</v>
      </c>
    </row>
    <row r="201" spans="2:10">
      <c r="B201" t="s">
        <v>1911</v>
      </c>
    </row>
    <row r="202" spans="2:10">
      <c r="B202" t="s">
        <v>48</v>
      </c>
    </row>
    <row r="203" spans="2:10">
      <c r="B203" t="s">
        <v>50</v>
      </c>
      <c r="C203" t="s">
        <v>229</v>
      </c>
      <c r="D203" t="s">
        <v>51</v>
      </c>
      <c r="E203" t="s">
        <v>52</v>
      </c>
      <c r="F203" t="s">
        <v>53</v>
      </c>
      <c r="G203" t="s">
        <v>54</v>
      </c>
      <c r="H203" t="s">
        <v>55</v>
      </c>
      <c r="I203" t="s">
        <v>56</v>
      </c>
      <c r="J203" t="s">
        <v>57</v>
      </c>
    </row>
    <row r="204" spans="2:10">
      <c r="B204" t="s">
        <v>115</v>
      </c>
      <c r="C204" s="46">
        <v>1485</v>
      </c>
      <c r="D204" s="46">
        <v>1700</v>
      </c>
      <c r="E204" s="46">
        <v>2087</v>
      </c>
      <c r="F204" s="46">
        <v>2088</v>
      </c>
      <c r="G204" s="46">
        <v>1767</v>
      </c>
      <c r="H204" s="46">
        <v>1267</v>
      </c>
      <c r="I204" s="46">
        <v>1191</v>
      </c>
      <c r="J204" s="46">
        <v>1239</v>
      </c>
    </row>
    <row r="205" spans="2:10">
      <c r="B205" t="s">
        <v>116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117</v>
      </c>
      <c r="C206">
        <v>62</v>
      </c>
      <c r="D206">
        <v>64</v>
      </c>
      <c r="E206">
        <v>65</v>
      </c>
      <c r="F206">
        <v>65</v>
      </c>
      <c r="G206">
        <v>66</v>
      </c>
      <c r="H206">
        <v>68</v>
      </c>
      <c r="I206">
        <v>66</v>
      </c>
      <c r="J206">
        <v>66</v>
      </c>
    </row>
    <row r="207" spans="2:10">
      <c r="B207" t="s">
        <v>118</v>
      </c>
      <c r="C207">
        <v>52</v>
      </c>
      <c r="D207">
        <v>50</v>
      </c>
      <c r="E207">
        <v>41</v>
      </c>
      <c r="F207">
        <v>39</v>
      </c>
      <c r="G207">
        <v>37</v>
      </c>
      <c r="H207">
        <v>39</v>
      </c>
      <c r="I207">
        <v>44</v>
      </c>
      <c r="J207">
        <v>47</v>
      </c>
    </row>
    <row r="208" spans="2:10">
      <c r="B208" t="s">
        <v>119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120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121</v>
      </c>
      <c r="C210">
        <v>0</v>
      </c>
      <c r="D210">
        <v>0</v>
      </c>
      <c r="E210">
        <v>11</v>
      </c>
      <c r="F210">
        <v>7</v>
      </c>
      <c r="G210">
        <v>0</v>
      </c>
      <c r="H210">
        <v>0</v>
      </c>
      <c r="I210">
        <v>0</v>
      </c>
      <c r="J210">
        <v>9</v>
      </c>
    </row>
    <row r="211" spans="2:10">
      <c r="B211" t="s">
        <v>122</v>
      </c>
      <c r="C211" t="s">
        <v>101</v>
      </c>
      <c r="D211" t="s">
        <v>101</v>
      </c>
      <c r="E211" t="s">
        <v>101</v>
      </c>
      <c r="F211" t="s">
        <v>101</v>
      </c>
      <c r="G211" t="s">
        <v>101</v>
      </c>
      <c r="H211" t="s">
        <v>101</v>
      </c>
      <c r="I211" t="s">
        <v>101</v>
      </c>
      <c r="J211" t="s">
        <v>101</v>
      </c>
    </row>
    <row r="212" spans="2:10">
      <c r="B212" t="s">
        <v>123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124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-9</v>
      </c>
      <c r="J213">
        <v>0</v>
      </c>
    </row>
    <row r="214" spans="2:10">
      <c r="B214" t="s">
        <v>125</v>
      </c>
      <c r="C214">
        <v>-1</v>
      </c>
      <c r="D214">
        <v>-1</v>
      </c>
      <c r="E214">
        <v>-1</v>
      </c>
      <c r="F214">
        <v>-1</v>
      </c>
      <c r="G214">
        <v>-1</v>
      </c>
      <c r="H214">
        <v>-1</v>
      </c>
      <c r="I214">
        <v>-1</v>
      </c>
      <c r="J214">
        <v>-1</v>
      </c>
    </row>
    <row r="215" spans="2:10">
      <c r="B215" t="s">
        <v>126</v>
      </c>
      <c r="C215">
        <v>981</v>
      </c>
      <c r="D215" s="46">
        <v>2039</v>
      </c>
      <c r="E215">
        <v>535</v>
      </c>
      <c r="F215" s="46">
        <v>-2290</v>
      </c>
      <c r="G215" s="46">
        <v>-1362</v>
      </c>
      <c r="H215">
        <v>-207</v>
      </c>
      <c r="I215">
        <v>-18</v>
      </c>
      <c r="J215">
        <v>271</v>
      </c>
    </row>
    <row r="216" spans="2:10">
      <c r="B216" t="s">
        <v>127</v>
      </c>
      <c r="C216">
        <v>681</v>
      </c>
      <c r="D216">
        <v>-820</v>
      </c>
      <c r="E216">
        <v>516</v>
      </c>
      <c r="F216">
        <v>-272</v>
      </c>
      <c r="G216">
        <v>-932</v>
      </c>
      <c r="H216" s="46">
        <v>-1110</v>
      </c>
      <c r="I216">
        <v>864</v>
      </c>
      <c r="J216">
        <v>-616</v>
      </c>
    </row>
    <row r="217" spans="2:10">
      <c r="B217" t="s">
        <v>128</v>
      </c>
      <c r="C217">
        <v>-265</v>
      </c>
      <c r="D217">
        <v>-913</v>
      </c>
      <c r="E217">
        <v>-441</v>
      </c>
      <c r="F217" s="46">
        <v>1062</v>
      </c>
      <c r="G217">
        <v>482</v>
      </c>
      <c r="H217">
        <v>933</v>
      </c>
      <c r="I217">
        <v>-38</v>
      </c>
      <c r="J217">
        <v>-807</v>
      </c>
    </row>
    <row r="218" spans="2:10">
      <c r="B218" t="s">
        <v>129</v>
      </c>
      <c r="C218" s="46">
        <v>-2429</v>
      </c>
      <c r="D218">
        <v>551</v>
      </c>
      <c r="E218">
        <v>220</v>
      </c>
      <c r="F218" s="46">
        <v>1019</v>
      </c>
      <c r="G218">
        <v>-511</v>
      </c>
      <c r="H218">
        <v>449</v>
      </c>
      <c r="I218">
        <v>-113</v>
      </c>
      <c r="J218">
        <v>653</v>
      </c>
    </row>
    <row r="219" spans="2:10">
      <c r="B219" t="s">
        <v>19</v>
      </c>
      <c r="C219">
        <v>566</v>
      </c>
      <c r="D219" s="46">
        <v>2669</v>
      </c>
      <c r="E219" s="46">
        <v>3038</v>
      </c>
      <c r="F219" s="46">
        <v>1718</v>
      </c>
      <c r="G219">
        <v>-454</v>
      </c>
      <c r="H219" s="46">
        <v>1446</v>
      </c>
      <c r="I219" s="46">
        <v>1987</v>
      </c>
      <c r="J219">
        <v>862</v>
      </c>
    </row>
    <row r="220" spans="2:10">
      <c r="B220" t="s">
        <v>130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22</v>
      </c>
      <c r="J220">
        <v>0</v>
      </c>
    </row>
    <row r="221" spans="2:10">
      <c r="B221" t="s">
        <v>131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132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-651</v>
      </c>
      <c r="D224">
        <v>-28</v>
      </c>
      <c r="E224">
        <v>-52</v>
      </c>
      <c r="F224">
        <v>-75</v>
      </c>
      <c r="G224">
        <v>-26</v>
      </c>
      <c r="H224">
        <v>-16</v>
      </c>
      <c r="I224">
        <v>-66</v>
      </c>
      <c r="J224">
        <v>-69</v>
      </c>
    </row>
    <row r="225" spans="2:10">
      <c r="B225" t="s">
        <v>133</v>
      </c>
      <c r="C225">
        <v>-7</v>
      </c>
      <c r="D225">
        <v>-153</v>
      </c>
      <c r="E225">
        <v>-125</v>
      </c>
      <c r="F225">
        <v>-26</v>
      </c>
      <c r="G225">
        <v>-38</v>
      </c>
      <c r="H225">
        <v>-18</v>
      </c>
      <c r="I225">
        <v>-26</v>
      </c>
      <c r="J225">
        <v>-81</v>
      </c>
    </row>
    <row r="226" spans="2:10">
      <c r="B226" t="s">
        <v>134</v>
      </c>
      <c r="C226">
        <v>-658</v>
      </c>
      <c r="D226">
        <v>-182</v>
      </c>
      <c r="E226">
        <v>-157</v>
      </c>
      <c r="F226">
        <v>-89</v>
      </c>
      <c r="G226">
        <v>-64</v>
      </c>
      <c r="H226">
        <v>-34</v>
      </c>
      <c r="I226">
        <v>-70</v>
      </c>
      <c r="J226">
        <v>-150</v>
      </c>
    </row>
    <row r="227" spans="2:10">
      <c r="B227" t="s">
        <v>135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136</v>
      </c>
      <c r="C228">
        <v>0</v>
      </c>
      <c r="D228">
        <v>0</v>
      </c>
      <c r="E228">
        <v>0</v>
      </c>
      <c r="F228" s="46">
        <v>-3651</v>
      </c>
      <c r="G228">
        <v>0</v>
      </c>
      <c r="H228">
        <v>0</v>
      </c>
      <c r="I228">
        <v>0</v>
      </c>
      <c r="J228" s="46">
        <v>-3397</v>
      </c>
    </row>
    <row r="229" spans="2:10">
      <c r="B229" t="s">
        <v>137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138</v>
      </c>
      <c r="C230">
        <v>-944</v>
      </c>
      <c r="D230">
        <v>-665</v>
      </c>
      <c r="E230" s="46">
        <v>-1943</v>
      </c>
      <c r="F230">
        <v>241</v>
      </c>
      <c r="G230" s="46">
        <v>1391</v>
      </c>
      <c r="H230">
        <v>324</v>
      </c>
      <c r="I230">
        <v>-748</v>
      </c>
      <c r="J230">
        <v>197</v>
      </c>
    </row>
    <row r="231" spans="2:10">
      <c r="B231" t="s">
        <v>139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140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141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142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143</v>
      </c>
      <c r="C235">
        <v>-8</v>
      </c>
      <c r="D235">
        <v>-11</v>
      </c>
      <c r="E235">
        <v>-12</v>
      </c>
      <c r="F235">
        <v>-15</v>
      </c>
      <c r="G235">
        <v>-12</v>
      </c>
      <c r="H235">
        <v>-12</v>
      </c>
      <c r="I235">
        <v>-10</v>
      </c>
      <c r="J235">
        <v>-11</v>
      </c>
    </row>
    <row r="236" spans="2:10">
      <c r="B236" t="s">
        <v>144</v>
      </c>
      <c r="C236">
        <v>-953</v>
      </c>
      <c r="D236">
        <v>-676</v>
      </c>
      <c r="E236" s="46">
        <v>-1955</v>
      </c>
      <c r="F236" s="46">
        <v>-3425</v>
      </c>
      <c r="G236" s="46">
        <v>1379</v>
      </c>
      <c r="H236">
        <v>312</v>
      </c>
      <c r="I236">
        <v>-749</v>
      </c>
      <c r="J236" s="46">
        <v>-3179</v>
      </c>
    </row>
    <row r="237" spans="2:10">
      <c r="B237" t="s">
        <v>145</v>
      </c>
      <c r="C237">
        <v>-12</v>
      </c>
      <c r="D237">
        <v>-2</v>
      </c>
      <c r="E237">
        <v>4</v>
      </c>
      <c r="F237">
        <v>2</v>
      </c>
      <c r="G237">
        <v>-1</v>
      </c>
      <c r="H237">
        <v>1</v>
      </c>
      <c r="I237">
        <v>1</v>
      </c>
      <c r="J237">
        <v>-1</v>
      </c>
    </row>
    <row r="238" spans="2:10">
      <c r="B238" t="s">
        <v>146</v>
      </c>
      <c r="C238" s="46">
        <v>-1056</v>
      </c>
      <c r="D238" s="46">
        <v>1809</v>
      </c>
      <c r="E238">
        <v>930</v>
      </c>
      <c r="F238" s="46">
        <v>-1793</v>
      </c>
      <c r="G238">
        <v>859</v>
      </c>
      <c r="H238" s="46">
        <v>1724</v>
      </c>
      <c r="I238" s="46">
        <v>1169</v>
      </c>
      <c r="J238" s="46">
        <v>-2469</v>
      </c>
    </row>
    <row r="239" spans="2:10">
      <c r="B239" t="s">
        <v>147</v>
      </c>
      <c r="C239" s="46">
        <v>21823</v>
      </c>
      <c r="D239" s="46">
        <v>20013</v>
      </c>
      <c r="E239" s="46">
        <v>19083</v>
      </c>
      <c r="F239" s="46">
        <v>20876</v>
      </c>
      <c r="G239" s="46">
        <v>20017</v>
      </c>
      <c r="H239" s="46">
        <v>18292</v>
      </c>
      <c r="I239" s="46">
        <v>17124</v>
      </c>
      <c r="J239" s="46">
        <v>19592</v>
      </c>
    </row>
    <row r="240" spans="2:10">
      <c r="B240" t="s">
        <v>148</v>
      </c>
      <c r="C240" s="46">
        <v>20767</v>
      </c>
      <c r="D240" s="46">
        <v>21823</v>
      </c>
      <c r="E240" s="46">
        <v>20013</v>
      </c>
      <c r="F240" s="46">
        <v>19083</v>
      </c>
      <c r="G240" s="46">
        <v>20876</v>
      </c>
      <c r="H240" s="46">
        <v>20017</v>
      </c>
      <c r="I240" s="46">
        <v>18292</v>
      </c>
      <c r="J240" s="46">
        <v>17124</v>
      </c>
    </row>
    <row r="241" spans="2:10">
      <c r="B241" t="s">
        <v>149</v>
      </c>
      <c r="C241">
        <v>8</v>
      </c>
      <c r="D241">
        <v>11</v>
      </c>
      <c r="E241">
        <v>12</v>
      </c>
      <c r="F241">
        <v>15</v>
      </c>
      <c r="G241">
        <v>12</v>
      </c>
      <c r="H241">
        <v>12</v>
      </c>
      <c r="I241">
        <v>10</v>
      </c>
      <c r="J241">
        <v>11</v>
      </c>
    </row>
    <row r="242" spans="2:10">
      <c r="B242" t="s">
        <v>150</v>
      </c>
      <c r="C242" t="s">
        <v>101</v>
      </c>
      <c r="D242" t="s">
        <v>101</v>
      </c>
      <c r="E242" t="s">
        <v>101</v>
      </c>
      <c r="F242" t="s">
        <v>101</v>
      </c>
      <c r="G242" t="s">
        <v>101</v>
      </c>
      <c r="H242" t="s">
        <v>101</v>
      </c>
      <c r="I242" t="s">
        <v>101</v>
      </c>
      <c r="J242" t="s">
        <v>101</v>
      </c>
    </row>
    <row r="243" spans="2:10">
      <c r="B243" t="s">
        <v>151</v>
      </c>
    </row>
    <row r="244" spans="2:10">
      <c r="B244" t="s">
        <v>152</v>
      </c>
    </row>
    <row r="245" spans="2:10">
      <c r="B245" t="s">
        <v>113</v>
      </c>
    </row>
    <row r="246" spans="2:10">
      <c r="B246" t="s">
        <v>114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1913</v>
      </c>
    </row>
    <row r="3" spans="2:10">
      <c r="B3" t="s">
        <v>48</v>
      </c>
    </row>
    <row r="4" spans="2:10">
      <c r="B4" t="s">
        <v>50</v>
      </c>
      <c r="C4" t="s">
        <v>229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56</v>
      </c>
      <c r="J4" t="s">
        <v>57</v>
      </c>
    </row>
    <row r="5" spans="2:10">
      <c r="B5" t="s">
        <v>10</v>
      </c>
      <c r="C5" s="46">
        <v>7148</v>
      </c>
      <c r="D5" s="46">
        <v>7446</v>
      </c>
      <c r="E5" s="46">
        <v>7562</v>
      </c>
      <c r="F5" s="46">
        <v>8300</v>
      </c>
      <c r="G5" s="46">
        <v>8075</v>
      </c>
      <c r="H5" s="46">
        <v>7326</v>
      </c>
      <c r="I5" s="46">
        <v>7303</v>
      </c>
      <c r="J5" s="46">
        <v>7177</v>
      </c>
    </row>
    <row r="6" spans="2:10">
      <c r="B6" t="s">
        <v>11</v>
      </c>
      <c r="C6" s="46">
        <v>4167</v>
      </c>
      <c r="D6" s="46">
        <v>4159</v>
      </c>
      <c r="E6" s="46">
        <v>4361</v>
      </c>
      <c r="F6" s="46">
        <v>4687</v>
      </c>
      <c r="G6" s="46">
        <v>4451</v>
      </c>
      <c r="H6" s="46">
        <v>4113</v>
      </c>
      <c r="I6" s="46">
        <v>4173</v>
      </c>
      <c r="J6" s="46">
        <v>4143</v>
      </c>
    </row>
    <row r="7" spans="2:10">
      <c r="B7" t="s">
        <v>58</v>
      </c>
      <c r="C7" s="46">
        <v>2981</v>
      </c>
      <c r="D7" s="46">
        <v>3287</v>
      </c>
      <c r="E7" s="46">
        <v>3201</v>
      </c>
      <c r="F7" s="46">
        <v>3614</v>
      </c>
      <c r="G7" s="46">
        <v>3624</v>
      </c>
      <c r="H7" s="46">
        <v>3213</v>
      </c>
      <c r="I7" s="46">
        <v>3131</v>
      </c>
      <c r="J7" s="46">
        <v>3034</v>
      </c>
    </row>
    <row r="8" spans="2:10">
      <c r="B8" t="s">
        <v>59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60</v>
      </c>
      <c r="C9" s="46">
        <v>2981</v>
      </c>
      <c r="D9" s="46">
        <v>3287</v>
      </c>
      <c r="E9" s="46">
        <v>3201</v>
      </c>
      <c r="F9" s="46">
        <v>3614</v>
      </c>
      <c r="G9" s="46">
        <v>3624</v>
      </c>
      <c r="H9" s="46">
        <v>3213</v>
      </c>
      <c r="I9" s="46">
        <v>3131</v>
      </c>
      <c r="J9" s="46">
        <v>3034</v>
      </c>
    </row>
    <row r="10" spans="2:10">
      <c r="B10" t="s">
        <v>61</v>
      </c>
      <c r="C10" s="46">
        <v>2716</v>
      </c>
      <c r="D10" s="46">
        <v>2653</v>
      </c>
      <c r="E10" s="46">
        <v>2778</v>
      </c>
      <c r="F10" s="46">
        <v>2913</v>
      </c>
      <c r="G10" s="46">
        <v>2720</v>
      </c>
      <c r="H10" s="46">
        <v>2423</v>
      </c>
      <c r="I10" s="46">
        <v>2665</v>
      </c>
      <c r="J10" s="46">
        <v>2326</v>
      </c>
    </row>
    <row r="11" spans="2:10">
      <c r="B11" t="s">
        <v>62</v>
      </c>
      <c r="C11">
        <v>379</v>
      </c>
      <c r="D11">
        <v>386</v>
      </c>
      <c r="E11">
        <v>457</v>
      </c>
      <c r="F11">
        <v>492</v>
      </c>
      <c r="G11">
        <v>439</v>
      </c>
      <c r="H11">
        <v>417</v>
      </c>
      <c r="I11">
        <v>442</v>
      </c>
      <c r="J11">
        <v>392</v>
      </c>
    </row>
    <row r="12" spans="2:10">
      <c r="B12" t="s">
        <v>63</v>
      </c>
      <c r="C12">
        <v>324</v>
      </c>
      <c r="D12">
        <v>279</v>
      </c>
      <c r="E12">
        <v>280</v>
      </c>
      <c r="F12">
        <v>340</v>
      </c>
      <c r="G12">
        <v>281</v>
      </c>
      <c r="H12">
        <v>269</v>
      </c>
      <c r="I12">
        <v>351</v>
      </c>
      <c r="J12">
        <v>301</v>
      </c>
    </row>
    <row r="13" spans="2:10">
      <c r="B13" t="s">
        <v>64</v>
      </c>
      <c r="C13" s="46">
        <v>2014</v>
      </c>
      <c r="D13" s="46">
        <v>1988</v>
      </c>
      <c r="E13" s="46">
        <v>2041</v>
      </c>
      <c r="F13" s="46">
        <v>2081</v>
      </c>
      <c r="G13" s="46">
        <v>2000</v>
      </c>
      <c r="H13" s="46">
        <v>1737</v>
      </c>
      <c r="I13" s="46">
        <v>1872</v>
      </c>
      <c r="J13" s="46">
        <v>1633</v>
      </c>
    </row>
    <row r="14" spans="2:10">
      <c r="B14" t="s">
        <v>65</v>
      </c>
      <c r="C14">
        <v>265</v>
      </c>
      <c r="D14">
        <v>634</v>
      </c>
      <c r="E14">
        <v>423</v>
      </c>
      <c r="F14">
        <v>701</v>
      </c>
      <c r="G14">
        <v>904</v>
      </c>
      <c r="H14">
        <v>790</v>
      </c>
      <c r="I14">
        <v>465</v>
      </c>
      <c r="J14">
        <v>709</v>
      </c>
    </row>
    <row r="15" spans="2:10">
      <c r="B15" t="s">
        <v>66</v>
      </c>
      <c r="C15">
        <v>174</v>
      </c>
      <c r="D15">
        <v>181</v>
      </c>
      <c r="E15">
        <v>149</v>
      </c>
      <c r="F15">
        <v>155</v>
      </c>
      <c r="G15">
        <v>139</v>
      </c>
      <c r="H15">
        <v>121</v>
      </c>
      <c r="I15">
        <v>107</v>
      </c>
      <c r="J15">
        <v>112</v>
      </c>
    </row>
    <row r="16" spans="2:10">
      <c r="B16" t="s">
        <v>67</v>
      </c>
      <c r="C16">
        <v>0</v>
      </c>
      <c r="D16">
        <v>0</v>
      </c>
      <c r="E16">
        <v>-3</v>
      </c>
      <c r="F16">
        <v>26</v>
      </c>
      <c r="G16">
        <v>4</v>
      </c>
      <c r="H16">
        <v>0</v>
      </c>
      <c r="I16">
        <v>17</v>
      </c>
      <c r="J16">
        <v>45</v>
      </c>
    </row>
    <row r="17" spans="2:10">
      <c r="B17" t="s">
        <v>68</v>
      </c>
      <c r="C17">
        <v>0</v>
      </c>
      <c r="D17">
        <v>0</v>
      </c>
      <c r="E17">
        <v>12</v>
      </c>
      <c r="F17">
        <v>834</v>
      </c>
      <c r="G17">
        <v>28</v>
      </c>
      <c r="H17">
        <v>222</v>
      </c>
      <c r="I17">
        <v>59</v>
      </c>
      <c r="J17">
        <v>35</v>
      </c>
    </row>
    <row r="18" spans="2:10">
      <c r="B18" t="s">
        <v>69</v>
      </c>
      <c r="C18">
        <v>0</v>
      </c>
      <c r="D18">
        <v>2</v>
      </c>
      <c r="E18">
        <v>0</v>
      </c>
      <c r="F18">
        <v>0</v>
      </c>
      <c r="G18">
        <v>0</v>
      </c>
      <c r="H18">
        <v>0</v>
      </c>
      <c r="I18">
        <v>4</v>
      </c>
      <c r="J18">
        <v>-2</v>
      </c>
    </row>
    <row r="19" spans="2:10">
      <c r="B19" t="s">
        <v>70</v>
      </c>
      <c r="C19">
        <v>10</v>
      </c>
      <c r="D19">
        <v>6</v>
      </c>
      <c r="E19">
        <v>9</v>
      </c>
      <c r="F19">
        <v>9</v>
      </c>
      <c r="G19">
        <v>8</v>
      </c>
      <c r="H19">
        <v>4</v>
      </c>
      <c r="I19">
        <v>7</v>
      </c>
      <c r="J19">
        <v>-3</v>
      </c>
    </row>
    <row r="20" spans="2:10">
      <c r="B20" t="s">
        <v>71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103</v>
      </c>
      <c r="J25">
        <v>-7</v>
      </c>
    </row>
    <row r="26" spans="2:10">
      <c r="B26" t="s">
        <v>77</v>
      </c>
      <c r="C26">
        <v>16</v>
      </c>
      <c r="D26">
        <v>26</v>
      </c>
      <c r="E26">
        <v>26</v>
      </c>
      <c r="F26">
        <v>46</v>
      </c>
      <c r="G26">
        <v>36</v>
      </c>
      <c r="H26">
        <v>27</v>
      </c>
      <c r="I26">
        <v>41</v>
      </c>
      <c r="J26">
        <v>12</v>
      </c>
    </row>
    <row r="27" spans="2:10">
      <c r="B27" t="s">
        <v>78</v>
      </c>
      <c r="C27">
        <v>200</v>
      </c>
      <c r="D27">
        <v>215</v>
      </c>
      <c r="E27">
        <v>193</v>
      </c>
      <c r="F27" s="46">
        <v>1070</v>
      </c>
      <c r="G27">
        <v>215</v>
      </c>
      <c r="H27">
        <v>374</v>
      </c>
      <c r="I27">
        <v>339</v>
      </c>
      <c r="J27">
        <v>192</v>
      </c>
    </row>
    <row r="28" spans="2:10">
      <c r="B28" t="s">
        <v>79</v>
      </c>
      <c r="C28">
        <v>31</v>
      </c>
      <c r="D28">
        <v>29</v>
      </c>
      <c r="E28">
        <v>23</v>
      </c>
      <c r="F28">
        <v>20</v>
      </c>
      <c r="G28">
        <v>17</v>
      </c>
      <c r="H28">
        <v>28</v>
      </c>
      <c r="I28">
        <v>15</v>
      </c>
      <c r="J28">
        <v>12</v>
      </c>
    </row>
    <row r="29" spans="2:10">
      <c r="B29" t="s">
        <v>80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81</v>
      </c>
      <c r="C30">
        <v>7</v>
      </c>
      <c r="D30">
        <v>7</v>
      </c>
      <c r="E30">
        <v>5</v>
      </c>
      <c r="F30">
        <v>0</v>
      </c>
      <c r="G30">
        <v>-18</v>
      </c>
      <c r="H30">
        <v>18</v>
      </c>
      <c r="I30">
        <v>0</v>
      </c>
      <c r="J30">
        <v>0</v>
      </c>
    </row>
    <row r="31" spans="2:10">
      <c r="B31" t="s">
        <v>82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-1</v>
      </c>
      <c r="J32">
        <v>1</v>
      </c>
    </row>
    <row r="33" spans="2:10">
      <c r="B33" t="s">
        <v>84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-5</v>
      </c>
      <c r="J33">
        <v>5</v>
      </c>
    </row>
    <row r="34" spans="2:10">
      <c r="B34" t="s">
        <v>85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87</v>
      </c>
      <c r="C36">
        <v>0</v>
      </c>
      <c r="D36">
        <v>0</v>
      </c>
      <c r="E36">
        <v>135</v>
      </c>
      <c r="F36">
        <v>0</v>
      </c>
      <c r="G36">
        <v>0</v>
      </c>
      <c r="H36">
        <v>0</v>
      </c>
      <c r="I36">
        <v>85</v>
      </c>
      <c r="J36">
        <v>0</v>
      </c>
    </row>
    <row r="37" spans="2:10">
      <c r="B37" t="s">
        <v>88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89</v>
      </c>
      <c r="C38">
        <v>21</v>
      </c>
      <c r="D38">
        <v>2</v>
      </c>
      <c r="E38">
        <v>31</v>
      </c>
      <c r="F38">
        <v>-72</v>
      </c>
      <c r="G38">
        <v>-15</v>
      </c>
      <c r="H38">
        <v>203</v>
      </c>
      <c r="I38">
        <v>0</v>
      </c>
      <c r="J38">
        <v>0</v>
      </c>
    </row>
    <row r="39" spans="2:10">
      <c r="B39" t="s">
        <v>90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91</v>
      </c>
      <c r="C40">
        <v>7</v>
      </c>
      <c r="D40">
        <v>6</v>
      </c>
      <c r="E40">
        <v>-133</v>
      </c>
      <c r="F40">
        <v>135</v>
      </c>
      <c r="G40">
        <v>4</v>
      </c>
      <c r="H40">
        <v>2</v>
      </c>
      <c r="I40">
        <v>-22</v>
      </c>
      <c r="J40">
        <v>24</v>
      </c>
    </row>
    <row r="41" spans="2:10">
      <c r="B41" t="s">
        <v>92</v>
      </c>
      <c r="C41">
        <v>66</v>
      </c>
      <c r="D41">
        <v>44</v>
      </c>
      <c r="E41">
        <v>61</v>
      </c>
      <c r="F41">
        <v>83</v>
      </c>
      <c r="G41">
        <v>-12</v>
      </c>
      <c r="H41">
        <v>251</v>
      </c>
      <c r="I41">
        <v>72</v>
      </c>
      <c r="J41">
        <v>42</v>
      </c>
    </row>
    <row r="42" spans="2:10">
      <c r="B42" t="s">
        <v>93</v>
      </c>
      <c r="C42">
        <v>398</v>
      </c>
      <c r="D42">
        <v>806</v>
      </c>
      <c r="E42">
        <v>555</v>
      </c>
      <c r="F42" s="46">
        <v>1687</v>
      </c>
      <c r="G42" s="46">
        <v>1132</v>
      </c>
      <c r="H42">
        <v>912</v>
      </c>
      <c r="I42">
        <v>732</v>
      </c>
      <c r="J42">
        <v>858</v>
      </c>
    </row>
    <row r="43" spans="2:10">
      <c r="B43" t="s">
        <v>94</v>
      </c>
      <c r="C43">
        <v>33</v>
      </c>
      <c r="D43">
        <v>65</v>
      </c>
      <c r="E43">
        <v>0</v>
      </c>
      <c r="F43">
        <v>184</v>
      </c>
      <c r="G43">
        <v>118</v>
      </c>
      <c r="H43">
        <v>92</v>
      </c>
      <c r="I43">
        <v>33</v>
      </c>
      <c r="J43">
        <v>31</v>
      </c>
    </row>
    <row r="44" spans="2:10">
      <c r="B44" t="s">
        <v>95</v>
      </c>
      <c r="C44">
        <v>365</v>
      </c>
      <c r="D44">
        <v>741</v>
      </c>
      <c r="E44">
        <v>555</v>
      </c>
      <c r="F44" s="46">
        <v>1504</v>
      </c>
      <c r="G44" s="46">
        <v>1014</v>
      </c>
      <c r="H44">
        <v>820</v>
      </c>
      <c r="I44">
        <v>699</v>
      </c>
      <c r="J44">
        <v>827</v>
      </c>
    </row>
    <row r="45" spans="2:10">
      <c r="B45" t="s">
        <v>96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99</v>
      </c>
      <c r="C48">
        <v>365</v>
      </c>
      <c r="D48">
        <v>741</v>
      </c>
      <c r="E48">
        <v>555</v>
      </c>
      <c r="F48" s="46">
        <v>1504</v>
      </c>
      <c r="G48" s="46">
        <v>1014</v>
      </c>
      <c r="H48">
        <v>820</v>
      </c>
      <c r="I48">
        <v>699</v>
      </c>
      <c r="J48">
        <v>827</v>
      </c>
    </row>
    <row r="49" spans="2:10">
      <c r="B49" t="s">
        <v>100</v>
      </c>
      <c r="C49" t="s">
        <v>101</v>
      </c>
      <c r="D49" t="s">
        <v>101</v>
      </c>
      <c r="E49" t="s">
        <v>101</v>
      </c>
      <c r="F49" t="s">
        <v>101</v>
      </c>
      <c r="G49" t="s">
        <v>101</v>
      </c>
      <c r="H49" t="s">
        <v>101</v>
      </c>
      <c r="I49" t="s">
        <v>101</v>
      </c>
      <c r="J49" t="s">
        <v>101</v>
      </c>
    </row>
    <row r="50" spans="2:10">
      <c r="B50" t="s">
        <v>102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365</v>
      </c>
      <c r="D52">
        <v>741</v>
      </c>
      <c r="E52">
        <v>555</v>
      </c>
      <c r="F52" s="46">
        <v>1504</v>
      </c>
      <c r="G52" s="46">
        <v>1014</v>
      </c>
      <c r="H52">
        <v>820</v>
      </c>
      <c r="I52">
        <v>699</v>
      </c>
      <c r="J52">
        <v>827</v>
      </c>
    </row>
    <row r="53" spans="2:10">
      <c r="B53" t="s">
        <v>14</v>
      </c>
      <c r="C53">
        <v>0.72</v>
      </c>
      <c r="D53">
        <v>1.47</v>
      </c>
      <c r="E53">
        <v>1.1000000000000001</v>
      </c>
      <c r="F53">
        <v>2.98</v>
      </c>
      <c r="G53">
        <v>2.0099999999999998</v>
      </c>
      <c r="H53">
        <v>1.62</v>
      </c>
      <c r="I53">
        <v>1.39</v>
      </c>
      <c r="J53">
        <v>1.64</v>
      </c>
    </row>
    <row r="54" spans="2:10">
      <c r="B54" t="s">
        <v>104</v>
      </c>
      <c r="C54">
        <v>0.7</v>
      </c>
      <c r="D54">
        <v>1.43</v>
      </c>
      <c r="E54" t="s">
        <v>101</v>
      </c>
      <c r="F54">
        <v>2.93</v>
      </c>
      <c r="G54">
        <v>1.97</v>
      </c>
      <c r="H54">
        <v>1.59</v>
      </c>
      <c r="I54" t="s">
        <v>101</v>
      </c>
      <c r="J54">
        <v>1.63</v>
      </c>
    </row>
    <row r="55" spans="2:10">
      <c r="B55" t="s">
        <v>105</v>
      </c>
      <c r="C55" s="46">
        <v>5050</v>
      </c>
      <c r="D55" s="46">
        <v>5050</v>
      </c>
      <c r="E55" s="46">
        <v>5050</v>
      </c>
      <c r="F55" s="46">
        <v>5050</v>
      </c>
      <c r="G55" s="46">
        <v>5050</v>
      </c>
      <c r="H55" s="46">
        <v>5050</v>
      </c>
      <c r="I55" s="46">
        <v>5043</v>
      </c>
      <c r="J55" s="46">
        <v>5050</v>
      </c>
    </row>
    <row r="56" spans="2:10">
      <c r="B56" t="s">
        <v>106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107</v>
      </c>
      <c r="C57" t="s">
        <v>101</v>
      </c>
      <c r="D57" t="s">
        <v>101</v>
      </c>
      <c r="E57">
        <v>0</v>
      </c>
      <c r="F57" t="s">
        <v>101</v>
      </c>
      <c r="G57" t="s">
        <v>101</v>
      </c>
      <c r="H57" t="s">
        <v>101</v>
      </c>
      <c r="I57">
        <v>0</v>
      </c>
      <c r="J57" t="s">
        <v>101</v>
      </c>
    </row>
    <row r="58" spans="2:10">
      <c r="B58" t="s">
        <v>108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110</v>
      </c>
      <c r="C60">
        <v>429</v>
      </c>
      <c r="D60">
        <v>835</v>
      </c>
      <c r="E60">
        <v>578</v>
      </c>
      <c r="F60" s="46">
        <v>1707</v>
      </c>
      <c r="G60" s="46">
        <v>1149</v>
      </c>
      <c r="H60">
        <v>940</v>
      </c>
      <c r="I60">
        <v>747</v>
      </c>
      <c r="J60">
        <v>870</v>
      </c>
    </row>
    <row r="61" spans="2:10">
      <c r="B61" t="s">
        <v>111</v>
      </c>
      <c r="C61">
        <v>776</v>
      </c>
      <c r="D61" s="46">
        <v>1160</v>
      </c>
      <c r="E61">
        <v>868</v>
      </c>
      <c r="F61" s="46">
        <v>1993</v>
      </c>
      <c r="G61" s="46">
        <v>1423</v>
      </c>
      <c r="H61" s="46">
        <v>1225</v>
      </c>
      <c r="I61" s="46">
        <v>1037</v>
      </c>
      <c r="J61" s="46">
        <v>1152</v>
      </c>
    </row>
    <row r="62" spans="2:10">
      <c r="B62" t="s">
        <v>112</v>
      </c>
      <c r="C62">
        <v>355</v>
      </c>
      <c r="D62">
        <v>733</v>
      </c>
      <c r="E62">
        <v>668</v>
      </c>
      <c r="F62">
        <v>661</v>
      </c>
      <c r="G62">
        <v>978</v>
      </c>
      <c r="H62">
        <v>594</v>
      </c>
      <c r="I62">
        <v>708</v>
      </c>
      <c r="J62">
        <v>803</v>
      </c>
    </row>
    <row r="63" spans="2:10">
      <c r="B63" t="s">
        <v>113</v>
      </c>
    </row>
    <row r="64" spans="2:10">
      <c r="B64" t="s">
        <v>114</v>
      </c>
    </row>
    <row r="101" spans="2:10">
      <c r="B101" t="s">
        <v>1914</v>
      </c>
    </row>
    <row r="102" spans="2:10">
      <c r="B102" t="s">
        <v>48</v>
      </c>
    </row>
    <row r="103" spans="2:10">
      <c r="B103" t="s">
        <v>50</v>
      </c>
      <c r="C103" t="s">
        <v>229</v>
      </c>
      <c r="D103" t="s">
        <v>51</v>
      </c>
      <c r="E103" t="s">
        <v>52</v>
      </c>
      <c r="F103" t="s">
        <v>53</v>
      </c>
      <c r="G103" t="s">
        <v>54</v>
      </c>
      <c r="H103" t="s">
        <v>55</v>
      </c>
      <c r="I103" t="s">
        <v>56</v>
      </c>
      <c r="J103" t="s">
        <v>57</v>
      </c>
    </row>
    <row r="104" spans="2:10">
      <c r="B104" t="s">
        <v>155</v>
      </c>
      <c r="C104" s="46">
        <v>22806</v>
      </c>
      <c r="D104" s="46">
        <v>25545</v>
      </c>
      <c r="E104" s="46">
        <v>21609</v>
      </c>
      <c r="F104" s="46">
        <v>21952</v>
      </c>
      <c r="G104" s="46">
        <v>17644</v>
      </c>
      <c r="H104" s="46">
        <v>19365</v>
      </c>
      <c r="I104" s="46">
        <v>16516</v>
      </c>
      <c r="J104" s="46">
        <v>15864</v>
      </c>
    </row>
    <row r="105" spans="2:10">
      <c r="B105" t="s">
        <v>156</v>
      </c>
      <c r="C105" s="46">
        <v>1617</v>
      </c>
      <c r="D105" s="46">
        <v>1481</v>
      </c>
      <c r="E105" s="46">
        <v>1448</v>
      </c>
      <c r="F105" s="46">
        <v>2289</v>
      </c>
      <c r="G105" s="46">
        <v>2281</v>
      </c>
      <c r="H105" s="46">
        <v>1638</v>
      </c>
      <c r="I105" s="46">
        <v>1426</v>
      </c>
      <c r="J105" s="46">
        <v>1588</v>
      </c>
    </row>
    <row r="106" spans="2:10">
      <c r="B106" t="s">
        <v>193</v>
      </c>
      <c r="C106" s="46">
        <v>3137</v>
      </c>
      <c r="D106" s="46">
        <v>3070</v>
      </c>
      <c r="E106" s="46">
        <v>3667</v>
      </c>
      <c r="F106" s="46">
        <v>4578</v>
      </c>
      <c r="G106" s="46">
        <v>4238</v>
      </c>
      <c r="H106" s="46">
        <v>3485</v>
      </c>
      <c r="I106" s="46">
        <v>4056</v>
      </c>
      <c r="J106" s="46">
        <v>3754</v>
      </c>
    </row>
    <row r="107" spans="2:10">
      <c r="B107" t="s">
        <v>157</v>
      </c>
      <c r="C107">
        <v>247</v>
      </c>
      <c r="D107">
        <v>385</v>
      </c>
      <c r="E107">
        <v>270</v>
      </c>
      <c r="F107">
        <v>334</v>
      </c>
      <c r="G107">
        <v>238</v>
      </c>
      <c r="H107">
        <v>200</v>
      </c>
      <c r="I107">
        <v>165</v>
      </c>
      <c r="J107">
        <v>197</v>
      </c>
    </row>
    <row r="108" spans="2:10">
      <c r="B108" t="s">
        <v>194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5107</v>
      </c>
      <c r="D109" s="46">
        <v>4281</v>
      </c>
      <c r="E109" s="46">
        <v>3882</v>
      </c>
      <c r="F109" s="46">
        <v>2979</v>
      </c>
      <c r="G109" s="46">
        <v>2869</v>
      </c>
      <c r="H109" s="46">
        <v>2945</v>
      </c>
      <c r="I109" s="46">
        <v>2791</v>
      </c>
      <c r="J109" s="46">
        <v>3263</v>
      </c>
    </row>
    <row r="110" spans="2:10">
      <c r="B110" t="s">
        <v>195</v>
      </c>
      <c r="C110" t="s">
        <v>101</v>
      </c>
      <c r="D110" t="s">
        <v>101</v>
      </c>
      <c r="E110" t="s">
        <v>101</v>
      </c>
      <c r="F110" t="s">
        <v>101</v>
      </c>
      <c r="G110" t="s">
        <v>101</v>
      </c>
      <c r="H110" t="s">
        <v>101</v>
      </c>
      <c r="I110" t="s">
        <v>101</v>
      </c>
      <c r="J110" t="s">
        <v>101</v>
      </c>
    </row>
    <row r="111" spans="2:10">
      <c r="B111" t="s">
        <v>158</v>
      </c>
      <c r="C111">
        <v>111</v>
      </c>
      <c r="D111">
        <v>94</v>
      </c>
      <c r="E111">
        <v>78</v>
      </c>
      <c r="F111">
        <v>87</v>
      </c>
      <c r="G111">
        <v>96</v>
      </c>
      <c r="H111">
        <v>199</v>
      </c>
      <c r="I111">
        <v>120</v>
      </c>
      <c r="J111">
        <v>165</v>
      </c>
    </row>
    <row r="112" spans="2:10">
      <c r="B112" t="s">
        <v>159</v>
      </c>
      <c r="C112" s="46">
        <v>4342</v>
      </c>
      <c r="D112" s="46">
        <v>2946</v>
      </c>
      <c r="E112" s="46">
        <v>2443</v>
      </c>
      <c r="F112" s="46">
        <v>2365</v>
      </c>
      <c r="G112" s="46">
        <v>3248</v>
      </c>
      <c r="H112" s="46">
        <v>1138</v>
      </c>
      <c r="I112" s="46">
        <v>2147</v>
      </c>
      <c r="J112" s="46">
        <v>2297</v>
      </c>
    </row>
    <row r="113" spans="2:10">
      <c r="B113" t="s">
        <v>160</v>
      </c>
      <c r="C113" s="46">
        <v>37366</v>
      </c>
      <c r="D113" s="46">
        <v>37800</v>
      </c>
      <c r="E113" s="46">
        <v>33397</v>
      </c>
      <c r="F113" s="46">
        <v>34584</v>
      </c>
      <c r="G113" s="46">
        <v>30614</v>
      </c>
      <c r="H113" s="46">
        <v>28969</v>
      </c>
      <c r="I113" s="46">
        <v>27222</v>
      </c>
      <c r="J113" s="46">
        <v>27127</v>
      </c>
    </row>
    <row r="114" spans="2:10">
      <c r="B114" t="s">
        <v>161</v>
      </c>
      <c r="C114" s="46">
        <v>2599</v>
      </c>
      <c r="D114" s="46">
        <v>2595</v>
      </c>
      <c r="E114" s="46">
        <v>2602</v>
      </c>
      <c r="F114" s="46">
        <v>2766</v>
      </c>
      <c r="G114" s="46">
        <v>2581</v>
      </c>
      <c r="H114" s="46">
        <v>2486</v>
      </c>
      <c r="I114" s="46">
        <v>2530</v>
      </c>
      <c r="J114" s="46">
        <v>2566</v>
      </c>
    </row>
    <row r="115" spans="2:10">
      <c r="B115" t="s">
        <v>162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163</v>
      </c>
      <c r="C116" s="46">
        <v>3138</v>
      </c>
      <c r="D116" s="46">
        <v>3134</v>
      </c>
      <c r="E116" s="46">
        <v>3141</v>
      </c>
      <c r="F116" s="46">
        <v>3118</v>
      </c>
      <c r="G116" s="46">
        <v>3098</v>
      </c>
      <c r="H116" s="46">
        <v>3108</v>
      </c>
      <c r="I116" s="46">
        <v>2436</v>
      </c>
      <c r="J116" s="46">
        <v>2068</v>
      </c>
    </row>
    <row r="117" spans="2:10">
      <c r="B117" t="s">
        <v>164</v>
      </c>
      <c r="C117" s="46">
        <v>3690</v>
      </c>
      <c r="D117" s="46">
        <v>3647</v>
      </c>
      <c r="E117" s="46">
        <v>3641</v>
      </c>
      <c r="F117" s="46">
        <v>3639</v>
      </c>
      <c r="G117" s="46">
        <v>3639</v>
      </c>
      <c r="H117" s="46">
        <v>3638</v>
      </c>
      <c r="I117" s="46">
        <v>3630</v>
      </c>
      <c r="J117" s="46">
        <v>3606</v>
      </c>
    </row>
    <row r="118" spans="2:10">
      <c r="B118" t="s">
        <v>165</v>
      </c>
      <c r="C118" s="46">
        <v>1974</v>
      </c>
      <c r="D118" s="46">
        <v>1715</v>
      </c>
      <c r="E118" s="46">
        <v>1686</v>
      </c>
      <c r="F118" s="46">
        <v>1620</v>
      </c>
      <c r="G118" s="46">
        <v>1558</v>
      </c>
      <c r="H118" s="46">
        <v>1524</v>
      </c>
      <c r="I118" s="46">
        <v>1486</v>
      </c>
      <c r="J118" s="46">
        <v>1670</v>
      </c>
    </row>
    <row r="119" spans="2:10">
      <c r="B119" t="s">
        <v>166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167</v>
      </c>
      <c r="C120" s="46">
        <v>-5450</v>
      </c>
      <c r="D120" s="46">
        <v>-5231</v>
      </c>
      <c r="E120" s="46">
        <v>-5099</v>
      </c>
      <c r="F120" s="46">
        <v>-4951</v>
      </c>
      <c r="G120" s="46">
        <v>-4799</v>
      </c>
      <c r="H120" s="46">
        <v>-4661</v>
      </c>
      <c r="I120" s="46">
        <v>-4517</v>
      </c>
      <c r="J120" s="46">
        <v>-4371</v>
      </c>
    </row>
    <row r="121" spans="2:10">
      <c r="B121" t="s">
        <v>168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169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170</v>
      </c>
      <c r="C123" s="46">
        <v>3351</v>
      </c>
      <c r="D123" s="46">
        <v>3265</v>
      </c>
      <c r="E123" s="46">
        <v>3369</v>
      </c>
      <c r="F123" s="46">
        <v>3426</v>
      </c>
      <c r="G123" s="46">
        <v>3496</v>
      </c>
      <c r="H123" s="46">
        <v>3609</v>
      </c>
      <c r="I123" s="46">
        <v>3035</v>
      </c>
      <c r="J123" s="46">
        <v>2974</v>
      </c>
    </row>
    <row r="124" spans="2:10">
      <c r="B124" t="s">
        <v>171</v>
      </c>
      <c r="C124">
        <v>126</v>
      </c>
      <c r="D124">
        <v>120</v>
      </c>
      <c r="E124">
        <v>150</v>
      </c>
      <c r="F124">
        <v>141</v>
      </c>
      <c r="G124">
        <v>81</v>
      </c>
      <c r="H124">
        <v>36</v>
      </c>
      <c r="I124">
        <v>32</v>
      </c>
      <c r="J124">
        <v>70</v>
      </c>
    </row>
    <row r="125" spans="2:10">
      <c r="B125" t="s">
        <v>172</v>
      </c>
      <c r="C125" s="46">
        <v>1690</v>
      </c>
      <c r="D125" s="46">
        <v>1579</v>
      </c>
      <c r="E125" s="46">
        <v>1470</v>
      </c>
      <c r="F125" s="46">
        <v>1311</v>
      </c>
      <c r="G125" s="46">
        <v>1138</v>
      </c>
      <c r="H125" s="46">
        <v>1180</v>
      </c>
      <c r="I125" s="46">
        <v>1257</v>
      </c>
      <c r="J125">
        <v>977</v>
      </c>
    </row>
    <row r="126" spans="2:10">
      <c r="B126" t="s">
        <v>173</v>
      </c>
      <c r="C126">
        <v>81</v>
      </c>
      <c r="D126">
        <v>97</v>
      </c>
      <c r="E126">
        <v>87</v>
      </c>
      <c r="F126">
        <v>80</v>
      </c>
      <c r="G126">
        <v>79</v>
      </c>
      <c r="H126">
        <v>80</v>
      </c>
      <c r="I126">
        <v>53</v>
      </c>
      <c r="J126">
        <v>40</v>
      </c>
    </row>
    <row r="127" spans="2:10">
      <c r="B127" t="s">
        <v>174</v>
      </c>
      <c r="C127" s="46">
        <v>2840</v>
      </c>
      <c r="D127" s="46">
        <v>1795</v>
      </c>
      <c r="E127" s="46">
        <v>1707</v>
      </c>
      <c r="F127" s="46">
        <v>1532</v>
      </c>
      <c r="G127" s="46">
        <v>1298</v>
      </c>
      <c r="H127" s="46">
        <v>1297</v>
      </c>
      <c r="I127" s="46">
        <v>1342</v>
      </c>
      <c r="J127" s="46">
        <v>1087</v>
      </c>
    </row>
    <row r="128" spans="2:10">
      <c r="B128" t="s">
        <v>18</v>
      </c>
      <c r="C128" s="46">
        <v>46156</v>
      </c>
      <c r="D128" s="46">
        <v>45456</v>
      </c>
      <c r="E128" s="46">
        <v>41075</v>
      </c>
      <c r="F128" s="46">
        <v>42307</v>
      </c>
      <c r="G128" s="46">
        <v>37989</v>
      </c>
      <c r="H128" s="46">
        <v>36361</v>
      </c>
      <c r="I128" s="46">
        <v>34129</v>
      </c>
      <c r="J128" s="46">
        <v>33755</v>
      </c>
    </row>
    <row r="129" spans="2:10">
      <c r="B129" t="s">
        <v>196</v>
      </c>
      <c r="C129" s="46">
        <v>12289</v>
      </c>
      <c r="D129" s="46">
        <v>12818</v>
      </c>
      <c r="E129" s="46">
        <v>7458</v>
      </c>
      <c r="F129" s="46">
        <v>8218</v>
      </c>
      <c r="G129" s="46">
        <v>7003</v>
      </c>
      <c r="H129" s="46">
        <v>7049</v>
      </c>
      <c r="I129" s="46">
        <v>6289</v>
      </c>
      <c r="J129" s="46">
        <v>5399</v>
      </c>
    </row>
    <row r="130" spans="2:10">
      <c r="B130" t="s">
        <v>197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4409</v>
      </c>
      <c r="D131" s="46">
        <v>3979</v>
      </c>
      <c r="E131" s="46">
        <v>4893</v>
      </c>
      <c r="F131" s="46">
        <v>4329</v>
      </c>
      <c r="G131" s="46">
        <v>3838</v>
      </c>
      <c r="H131" s="46">
        <v>3727</v>
      </c>
      <c r="I131" s="46">
        <v>3253</v>
      </c>
      <c r="J131" s="46">
        <v>3344</v>
      </c>
    </row>
    <row r="132" spans="2:10">
      <c r="B132" t="s">
        <v>175</v>
      </c>
      <c r="C132" s="46">
        <v>4709</v>
      </c>
      <c r="D132" s="46">
        <v>4217</v>
      </c>
      <c r="E132" s="46">
        <v>4844</v>
      </c>
      <c r="F132" s="46">
        <v>4827</v>
      </c>
      <c r="G132" s="46">
        <v>4177</v>
      </c>
      <c r="H132" s="46">
        <v>3372</v>
      </c>
      <c r="I132" s="46">
        <v>3626</v>
      </c>
      <c r="J132" s="46">
        <v>3337</v>
      </c>
    </row>
    <row r="133" spans="2:10">
      <c r="B133" t="s">
        <v>176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177</v>
      </c>
      <c r="C134" s="46">
        <v>3561</v>
      </c>
      <c r="D134">
        <v>195</v>
      </c>
      <c r="E134">
        <v>182</v>
      </c>
      <c r="F134" s="46">
        <v>2674</v>
      </c>
      <c r="G134" s="46">
        <v>2756</v>
      </c>
      <c r="H134">
        <v>270</v>
      </c>
      <c r="I134">
        <v>314</v>
      </c>
      <c r="J134" s="46">
        <v>1958</v>
      </c>
    </row>
    <row r="135" spans="2:10">
      <c r="B135" t="s">
        <v>178</v>
      </c>
      <c r="C135">
        <v>235</v>
      </c>
      <c r="D135">
        <v>426</v>
      </c>
      <c r="E135">
        <v>381</v>
      </c>
      <c r="F135">
        <v>390</v>
      </c>
      <c r="G135">
        <v>195</v>
      </c>
      <c r="H135">
        <v>160</v>
      </c>
      <c r="I135">
        <v>83</v>
      </c>
      <c r="J135">
        <v>93</v>
      </c>
    </row>
    <row r="136" spans="2:10">
      <c r="B136" t="s">
        <v>179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180</v>
      </c>
      <c r="C137">
        <v>73</v>
      </c>
      <c r="D137">
        <v>70</v>
      </c>
      <c r="E137">
        <v>44</v>
      </c>
      <c r="F137">
        <v>74</v>
      </c>
      <c r="G137">
        <v>45</v>
      </c>
      <c r="H137">
        <v>71</v>
      </c>
      <c r="I137">
        <v>30</v>
      </c>
      <c r="J137">
        <v>39</v>
      </c>
    </row>
    <row r="138" spans="2:10">
      <c r="B138" t="s">
        <v>181</v>
      </c>
      <c r="C138" s="46">
        <v>25277</v>
      </c>
      <c r="D138" s="46">
        <v>21705</v>
      </c>
      <c r="E138" s="46">
        <v>17801</v>
      </c>
      <c r="F138" s="46">
        <v>20512</v>
      </c>
      <c r="G138" s="46">
        <v>18014</v>
      </c>
      <c r="H138" s="46">
        <v>14650</v>
      </c>
      <c r="I138" s="46">
        <v>13595</v>
      </c>
      <c r="J138" s="46">
        <v>14170</v>
      </c>
    </row>
    <row r="139" spans="2:10">
      <c r="B139" t="s">
        <v>182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184</v>
      </c>
      <c r="C141">
        <v>0</v>
      </c>
      <c r="D141">
        <v>0</v>
      </c>
      <c r="E141">
        <v>95</v>
      </c>
      <c r="F141">
        <v>0</v>
      </c>
      <c r="G141">
        <v>0</v>
      </c>
      <c r="H141">
        <v>0</v>
      </c>
      <c r="I141">
        <v>143</v>
      </c>
      <c r="J141">
        <v>0</v>
      </c>
    </row>
    <row r="142" spans="2:10">
      <c r="B142" t="s">
        <v>185</v>
      </c>
      <c r="C142">
        <v>10</v>
      </c>
      <c r="D142">
        <v>4</v>
      </c>
      <c r="E142">
        <v>27</v>
      </c>
      <c r="F142">
        <v>18</v>
      </c>
      <c r="G142">
        <v>7</v>
      </c>
      <c r="H142">
        <v>9</v>
      </c>
      <c r="I142">
        <v>6</v>
      </c>
      <c r="J142">
        <v>0</v>
      </c>
    </row>
    <row r="143" spans="2:10">
      <c r="B143" t="s">
        <v>186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187</v>
      </c>
      <c r="C144" s="46">
        <v>1063</v>
      </c>
      <c r="D144" s="46">
        <v>1043</v>
      </c>
      <c r="E144" s="46">
        <v>1021</v>
      </c>
      <c r="F144">
        <v>950</v>
      </c>
      <c r="G144">
        <v>915</v>
      </c>
      <c r="H144">
        <v>903</v>
      </c>
      <c r="I144">
        <v>857</v>
      </c>
      <c r="J144">
        <v>768</v>
      </c>
    </row>
    <row r="145" spans="2:10">
      <c r="B145" t="s">
        <v>188</v>
      </c>
      <c r="C145">
        <v>89</v>
      </c>
      <c r="D145">
        <v>100</v>
      </c>
      <c r="E145">
        <v>24</v>
      </c>
      <c r="F145">
        <v>128</v>
      </c>
      <c r="G145">
        <v>129</v>
      </c>
      <c r="H145">
        <v>139</v>
      </c>
      <c r="I145">
        <v>5</v>
      </c>
      <c r="J145">
        <v>158</v>
      </c>
    </row>
    <row r="146" spans="2:10">
      <c r="B146" t="s">
        <v>189</v>
      </c>
      <c r="C146" s="46">
        <v>1161</v>
      </c>
      <c r="D146" s="46">
        <v>1146</v>
      </c>
      <c r="E146" s="46">
        <v>1167</v>
      </c>
      <c r="F146" s="46">
        <v>1096</v>
      </c>
      <c r="G146" s="46">
        <v>1052</v>
      </c>
      <c r="H146" s="46">
        <v>1051</v>
      </c>
      <c r="I146" s="46">
        <v>1011</v>
      </c>
      <c r="J146">
        <v>926</v>
      </c>
    </row>
    <row r="147" spans="2:10">
      <c r="B147" t="s">
        <v>17</v>
      </c>
      <c r="C147" s="46">
        <v>26438</v>
      </c>
      <c r="D147" s="46">
        <v>22851</v>
      </c>
      <c r="E147" s="46">
        <v>18968</v>
      </c>
      <c r="F147" s="46">
        <v>21607</v>
      </c>
      <c r="G147" s="46">
        <v>19065</v>
      </c>
      <c r="H147" s="46">
        <v>15700</v>
      </c>
      <c r="I147" s="46">
        <v>14605</v>
      </c>
      <c r="J147" s="46">
        <v>15096</v>
      </c>
    </row>
    <row r="148" spans="2:10">
      <c r="B148" t="s">
        <v>190</v>
      </c>
      <c r="C148" s="46">
        <v>19717</v>
      </c>
      <c r="D148" s="46">
        <v>22605</v>
      </c>
      <c r="E148" s="46">
        <v>22106</v>
      </c>
      <c r="F148" s="46">
        <v>20700</v>
      </c>
      <c r="G148" s="46">
        <v>18923</v>
      </c>
      <c r="H148" s="46">
        <v>20661</v>
      </c>
      <c r="I148" s="46">
        <v>19524</v>
      </c>
      <c r="J148" s="46">
        <v>18659</v>
      </c>
    </row>
    <row r="149" spans="2:10">
      <c r="B149" t="s">
        <v>198</v>
      </c>
      <c r="C149" s="46">
        <v>5050</v>
      </c>
      <c r="D149" s="46">
        <v>5050</v>
      </c>
      <c r="E149" s="46">
        <v>5050</v>
      </c>
      <c r="F149" s="46">
        <v>5050</v>
      </c>
      <c r="G149" s="46">
        <v>5050</v>
      </c>
      <c r="H149" s="46">
        <v>5050</v>
      </c>
      <c r="I149" s="46">
        <v>5050</v>
      </c>
      <c r="J149" s="46">
        <v>5050</v>
      </c>
    </row>
    <row r="150" spans="2:10">
      <c r="B150" t="s">
        <v>199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200</v>
      </c>
      <c r="C151" s="46">
        <v>4405</v>
      </c>
      <c r="D151" s="46">
        <v>4405</v>
      </c>
      <c r="E151" s="46">
        <v>4405</v>
      </c>
      <c r="F151" s="46">
        <v>4405</v>
      </c>
      <c r="G151" s="46">
        <v>4442</v>
      </c>
      <c r="H151" s="46">
        <v>4407</v>
      </c>
      <c r="I151" s="46">
        <v>4407</v>
      </c>
      <c r="J151" s="46">
        <v>4409</v>
      </c>
    </row>
    <row r="152" spans="2:10">
      <c r="B152" t="s">
        <v>201</v>
      </c>
      <c r="C152" s="46">
        <v>3581</v>
      </c>
      <c r="D152" s="46">
        <v>3192</v>
      </c>
      <c r="E152" s="46">
        <v>3192</v>
      </c>
      <c r="F152" s="46">
        <v>3192</v>
      </c>
      <c r="G152" s="46">
        <v>3192</v>
      </c>
      <c r="H152" s="46">
        <v>2888</v>
      </c>
      <c r="I152" s="46">
        <v>2888</v>
      </c>
      <c r="J152" s="46">
        <v>2888</v>
      </c>
    </row>
    <row r="153" spans="2:10">
      <c r="B153" t="s">
        <v>202</v>
      </c>
      <c r="C153">
        <v>0</v>
      </c>
      <c r="D153">
        <v>124</v>
      </c>
      <c r="E153">
        <v>124</v>
      </c>
      <c r="F153">
        <v>124</v>
      </c>
      <c r="G153">
        <v>124</v>
      </c>
      <c r="H153">
        <v>533</v>
      </c>
      <c r="I153">
        <v>533</v>
      </c>
      <c r="J153">
        <v>533</v>
      </c>
    </row>
    <row r="154" spans="2:10">
      <c r="B154" t="s">
        <v>203</v>
      </c>
      <c r="C154" s="46">
        <v>6045</v>
      </c>
      <c r="D154" s="46">
        <v>8975</v>
      </c>
      <c r="E154" s="46">
        <v>8233</v>
      </c>
      <c r="F154" s="46">
        <v>7679</v>
      </c>
      <c r="G154" s="46">
        <v>6175</v>
      </c>
      <c r="H154" s="46">
        <v>7580</v>
      </c>
      <c r="I154" s="46">
        <v>6760</v>
      </c>
      <c r="J154" s="46">
        <v>6061</v>
      </c>
    </row>
    <row r="155" spans="2:10">
      <c r="B155" t="s">
        <v>204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191</v>
      </c>
      <c r="C156">
        <v>10</v>
      </c>
      <c r="D156">
        <v>10</v>
      </c>
      <c r="E156">
        <v>10</v>
      </c>
      <c r="F156">
        <v>10</v>
      </c>
      <c r="G156">
        <v>10</v>
      </c>
      <c r="H156">
        <v>10</v>
      </c>
      <c r="I156">
        <v>10</v>
      </c>
      <c r="J156">
        <v>10</v>
      </c>
    </row>
    <row r="157" spans="2:10">
      <c r="B157" t="s">
        <v>192</v>
      </c>
      <c r="C157" s="46">
        <v>46156</v>
      </c>
      <c r="D157" s="46">
        <v>45456</v>
      </c>
      <c r="E157" s="46">
        <v>41075</v>
      </c>
      <c r="F157" s="46">
        <v>42307</v>
      </c>
      <c r="G157" s="46">
        <v>37989</v>
      </c>
      <c r="H157" s="46">
        <v>36361</v>
      </c>
      <c r="I157" s="46">
        <v>34129</v>
      </c>
      <c r="J157" s="46">
        <v>33755</v>
      </c>
    </row>
    <row r="158" spans="2:10">
      <c r="B158" t="s">
        <v>113</v>
      </c>
    </row>
    <row r="159" spans="2:10">
      <c r="B159" t="s">
        <v>114</v>
      </c>
    </row>
    <row r="201" spans="2:10">
      <c r="B201" t="s">
        <v>1913</v>
      </c>
    </row>
    <row r="202" spans="2:10">
      <c r="B202" t="s">
        <v>48</v>
      </c>
    </row>
    <row r="203" spans="2:10">
      <c r="B203" t="s">
        <v>50</v>
      </c>
      <c r="C203" t="s">
        <v>229</v>
      </c>
      <c r="D203" t="s">
        <v>51</v>
      </c>
      <c r="E203" t="s">
        <v>52</v>
      </c>
      <c r="F203" t="s">
        <v>53</v>
      </c>
      <c r="G203" t="s">
        <v>54</v>
      </c>
      <c r="H203" t="s">
        <v>55</v>
      </c>
      <c r="I203" t="s">
        <v>56</v>
      </c>
      <c r="J203" t="s">
        <v>57</v>
      </c>
    </row>
    <row r="204" spans="2:10">
      <c r="B204" t="s">
        <v>115</v>
      </c>
      <c r="C204">
        <v>365</v>
      </c>
      <c r="D204">
        <v>741</v>
      </c>
      <c r="E204">
        <v>555</v>
      </c>
      <c r="F204" s="46">
        <v>1504</v>
      </c>
      <c r="G204" s="46">
        <v>1014</v>
      </c>
      <c r="H204">
        <v>820</v>
      </c>
      <c r="I204">
        <v>699</v>
      </c>
      <c r="J204">
        <v>827</v>
      </c>
    </row>
    <row r="205" spans="2:10">
      <c r="B205" t="s">
        <v>116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117</v>
      </c>
      <c r="C206">
        <v>144</v>
      </c>
      <c r="D206">
        <v>136</v>
      </c>
      <c r="E206">
        <v>135</v>
      </c>
      <c r="F206">
        <v>143</v>
      </c>
      <c r="G206">
        <v>146</v>
      </c>
      <c r="H206">
        <v>148</v>
      </c>
      <c r="I206">
        <v>143</v>
      </c>
      <c r="J206">
        <v>141</v>
      </c>
    </row>
    <row r="207" spans="2:10">
      <c r="B207" t="s">
        <v>118</v>
      </c>
      <c r="C207">
        <v>203</v>
      </c>
      <c r="D207">
        <v>189</v>
      </c>
      <c r="E207">
        <v>155</v>
      </c>
      <c r="F207">
        <v>143</v>
      </c>
      <c r="G207">
        <v>128</v>
      </c>
      <c r="H207">
        <v>137</v>
      </c>
      <c r="I207">
        <v>147</v>
      </c>
      <c r="J207">
        <v>140</v>
      </c>
    </row>
    <row r="208" spans="2:10">
      <c r="B208" t="s">
        <v>119</v>
      </c>
      <c r="C208">
        <v>0</v>
      </c>
      <c r="D208">
        <v>0</v>
      </c>
      <c r="E208">
        <v>3</v>
      </c>
      <c r="F208">
        <v>1</v>
      </c>
      <c r="G208">
        <v>-4</v>
      </c>
      <c r="H208">
        <v>0</v>
      </c>
      <c r="I208">
        <v>-17</v>
      </c>
      <c r="J208">
        <v>-22</v>
      </c>
    </row>
    <row r="209" spans="2:10">
      <c r="B209" t="s">
        <v>120</v>
      </c>
      <c r="C209">
        <v>7</v>
      </c>
      <c r="D209">
        <v>7</v>
      </c>
      <c r="E209">
        <v>5</v>
      </c>
      <c r="F209">
        <v>0</v>
      </c>
      <c r="G209">
        <v>-18</v>
      </c>
      <c r="H209">
        <v>18</v>
      </c>
      <c r="I209">
        <v>0</v>
      </c>
      <c r="J209">
        <v>0</v>
      </c>
    </row>
    <row r="210" spans="2:10">
      <c r="B210" t="s">
        <v>121</v>
      </c>
      <c r="C210">
        <v>0</v>
      </c>
      <c r="D210">
        <v>0</v>
      </c>
      <c r="E210">
        <v>0</v>
      </c>
      <c r="F210">
        <v>27</v>
      </c>
      <c r="G210">
        <v>0</v>
      </c>
      <c r="H210">
        <v>0</v>
      </c>
      <c r="I210">
        <v>0</v>
      </c>
      <c r="J210">
        <v>23</v>
      </c>
    </row>
    <row r="211" spans="2:10">
      <c r="B211" t="s">
        <v>122</v>
      </c>
      <c r="C211" t="s">
        <v>101</v>
      </c>
      <c r="D211" t="s">
        <v>101</v>
      </c>
      <c r="E211" t="s">
        <v>101</v>
      </c>
      <c r="F211" t="s">
        <v>101</v>
      </c>
      <c r="G211" t="s">
        <v>101</v>
      </c>
      <c r="H211" t="s">
        <v>101</v>
      </c>
      <c r="I211" t="s">
        <v>101</v>
      </c>
      <c r="J211" t="s">
        <v>101</v>
      </c>
    </row>
    <row r="212" spans="2:10">
      <c r="B212" t="s">
        <v>123</v>
      </c>
      <c r="C212">
        <v>0</v>
      </c>
      <c r="D212">
        <v>-2</v>
      </c>
      <c r="E212">
        <v>-1</v>
      </c>
      <c r="F212">
        <v>0</v>
      </c>
      <c r="G212">
        <v>0</v>
      </c>
      <c r="H212">
        <v>0</v>
      </c>
      <c r="I212">
        <v>-5</v>
      </c>
      <c r="J212">
        <v>3</v>
      </c>
    </row>
    <row r="213" spans="2:10">
      <c r="B213" t="s">
        <v>124</v>
      </c>
      <c r="C213">
        <v>0</v>
      </c>
      <c r="D213">
        <v>0</v>
      </c>
      <c r="E213">
        <v>-12</v>
      </c>
      <c r="F213">
        <v>-834</v>
      </c>
      <c r="G213">
        <v>-28</v>
      </c>
      <c r="H213">
        <v>-222</v>
      </c>
      <c r="I213">
        <v>-59</v>
      </c>
      <c r="J213">
        <v>-35</v>
      </c>
    </row>
    <row r="214" spans="2:10">
      <c r="B214" t="s">
        <v>125</v>
      </c>
      <c r="C214">
        <v>-12</v>
      </c>
      <c r="D214">
        <v>-11</v>
      </c>
      <c r="E214">
        <v>-11</v>
      </c>
      <c r="F214">
        <v>-10</v>
      </c>
      <c r="G214">
        <v>-10</v>
      </c>
      <c r="H214">
        <v>-10</v>
      </c>
      <c r="I214">
        <v>-5</v>
      </c>
      <c r="J214">
        <v>-13</v>
      </c>
    </row>
    <row r="215" spans="2:10">
      <c r="B215" t="s">
        <v>126</v>
      </c>
      <c r="C215">
        <v>-67</v>
      </c>
      <c r="D215">
        <v>598</v>
      </c>
      <c r="E215">
        <v>911</v>
      </c>
      <c r="F215">
        <v>-340</v>
      </c>
      <c r="G215">
        <v>-754</v>
      </c>
      <c r="H215">
        <v>572</v>
      </c>
      <c r="I215">
        <v>-302</v>
      </c>
      <c r="J215">
        <v>-90</v>
      </c>
    </row>
    <row r="216" spans="2:10">
      <c r="B216" t="s">
        <v>127</v>
      </c>
      <c r="C216">
        <v>-826</v>
      </c>
      <c r="D216">
        <v>-398</v>
      </c>
      <c r="E216">
        <v>-903</v>
      </c>
      <c r="F216">
        <v>-110</v>
      </c>
      <c r="G216">
        <v>76</v>
      </c>
      <c r="H216">
        <v>-154</v>
      </c>
      <c r="I216">
        <v>472</v>
      </c>
      <c r="J216">
        <v>65</v>
      </c>
    </row>
    <row r="217" spans="2:10">
      <c r="B217" t="s">
        <v>128</v>
      </c>
      <c r="C217">
        <v>430</v>
      </c>
      <c r="D217">
        <v>-914</v>
      </c>
      <c r="E217">
        <v>564</v>
      </c>
      <c r="F217">
        <v>491</v>
      </c>
      <c r="G217">
        <v>111</v>
      </c>
      <c r="H217">
        <v>474</v>
      </c>
      <c r="I217">
        <v>-91</v>
      </c>
      <c r="J217">
        <v>-267</v>
      </c>
    </row>
    <row r="218" spans="2:10">
      <c r="B218" t="s">
        <v>129</v>
      </c>
      <c r="C218">
        <v>454</v>
      </c>
      <c r="D218">
        <v>-409</v>
      </c>
      <c r="E218">
        <v>-39</v>
      </c>
      <c r="F218">
        <v>686</v>
      </c>
      <c r="G218">
        <v>849</v>
      </c>
      <c r="H218">
        <v>-69</v>
      </c>
      <c r="I218">
        <v>357</v>
      </c>
      <c r="J218">
        <v>345</v>
      </c>
    </row>
    <row r="219" spans="2:10">
      <c r="B219" t="s">
        <v>19</v>
      </c>
      <c r="C219">
        <v>233</v>
      </c>
      <c r="D219">
        <v>-137</v>
      </c>
      <c r="E219" s="46">
        <v>1520</v>
      </c>
      <c r="F219" s="46">
        <v>1573</v>
      </c>
      <c r="G219" s="46">
        <v>1576</v>
      </c>
      <c r="H219" s="46">
        <v>1221</v>
      </c>
      <c r="I219" s="46">
        <v>1486</v>
      </c>
      <c r="J219" s="46">
        <v>1127</v>
      </c>
    </row>
    <row r="220" spans="2:10">
      <c r="B220" t="s">
        <v>130</v>
      </c>
      <c r="C220">
        <v>489</v>
      </c>
      <c r="D220">
        <v>0</v>
      </c>
      <c r="E220">
        <v>233</v>
      </c>
      <c r="F220">
        <v>0</v>
      </c>
      <c r="G220">
        <v>0</v>
      </c>
      <c r="H220">
        <v>0</v>
      </c>
      <c r="I220">
        <v>0</v>
      </c>
      <c r="J220">
        <v>67</v>
      </c>
    </row>
    <row r="221" spans="2:10">
      <c r="B221" t="s">
        <v>131</v>
      </c>
      <c r="C221">
        <v>0</v>
      </c>
      <c r="D221">
        <v>0</v>
      </c>
      <c r="E221">
        <v>0</v>
      </c>
      <c r="F221">
        <v>516</v>
      </c>
      <c r="G221">
        <v>61</v>
      </c>
      <c r="H221">
        <v>264</v>
      </c>
      <c r="I221">
        <v>89</v>
      </c>
      <c r="J221">
        <v>23</v>
      </c>
    </row>
    <row r="222" spans="2:10">
      <c r="B222" t="s">
        <v>21</v>
      </c>
      <c r="C222">
        <v>-200</v>
      </c>
      <c r="D222">
        <v>0</v>
      </c>
      <c r="E222">
        <v>0</v>
      </c>
      <c r="F222">
        <v>-60</v>
      </c>
      <c r="G222">
        <v>0</v>
      </c>
      <c r="H222">
        <v>-40</v>
      </c>
      <c r="I222">
        <v>0</v>
      </c>
      <c r="J222">
        <v>0</v>
      </c>
    </row>
    <row r="223" spans="2:10">
      <c r="B223" t="s">
        <v>132</v>
      </c>
      <c r="C223">
        <v>0</v>
      </c>
      <c r="D223">
        <v>2</v>
      </c>
      <c r="E223">
        <v>1</v>
      </c>
      <c r="F223">
        <v>0</v>
      </c>
      <c r="G223">
        <v>0</v>
      </c>
      <c r="H223">
        <v>0</v>
      </c>
      <c r="I223">
        <v>3</v>
      </c>
      <c r="J223">
        <v>0</v>
      </c>
    </row>
    <row r="224" spans="2:10">
      <c r="B224" t="s">
        <v>20</v>
      </c>
      <c r="C224">
        <v>-159</v>
      </c>
      <c r="D224">
        <v>-108</v>
      </c>
      <c r="E224">
        <v>-4</v>
      </c>
      <c r="F224">
        <v>-38</v>
      </c>
      <c r="G224">
        <v>-49</v>
      </c>
      <c r="H224">
        <v>-733</v>
      </c>
      <c r="I224">
        <v>-141</v>
      </c>
      <c r="J224">
        <v>-46</v>
      </c>
    </row>
    <row r="225" spans="2:10">
      <c r="B225" t="s">
        <v>133</v>
      </c>
      <c r="C225" s="46">
        <v>-2399</v>
      </c>
      <c r="D225">
        <v>-962</v>
      </c>
      <c r="E225">
        <v>-272</v>
      </c>
      <c r="F225">
        <v>544</v>
      </c>
      <c r="G225" s="46">
        <v>-2205</v>
      </c>
      <c r="H225">
        <v>747</v>
      </c>
      <c r="I225">
        <v>-177</v>
      </c>
      <c r="J225">
        <v>-942</v>
      </c>
    </row>
    <row r="226" spans="2:10">
      <c r="B226" t="s">
        <v>134</v>
      </c>
      <c r="C226" s="46">
        <v>-2251</v>
      </c>
      <c r="D226" s="46">
        <v>-1043</v>
      </c>
      <c r="E226">
        <v>703</v>
      </c>
      <c r="F226" s="46">
        <v>1237</v>
      </c>
      <c r="G226" s="46">
        <v>-2938</v>
      </c>
      <c r="H226">
        <v>608</v>
      </c>
      <c r="I226">
        <v>-192</v>
      </c>
      <c r="J226" s="46">
        <v>-1654</v>
      </c>
    </row>
    <row r="227" spans="2:10">
      <c r="B227" t="s">
        <v>135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136</v>
      </c>
      <c r="C228">
        <v>0</v>
      </c>
      <c r="D228">
        <v>0</v>
      </c>
      <c r="E228" s="46">
        <v>-2525</v>
      </c>
      <c r="F228">
        <v>0</v>
      </c>
      <c r="G228">
        <v>0</v>
      </c>
      <c r="H228">
        <v>0</v>
      </c>
      <c r="I228" s="46">
        <v>-1696</v>
      </c>
      <c r="J228">
        <v>0</v>
      </c>
    </row>
    <row r="229" spans="2:10">
      <c r="B229" t="s">
        <v>137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138</v>
      </c>
      <c r="C230">
        <v>-529</v>
      </c>
      <c r="D230" s="46">
        <v>5361</v>
      </c>
      <c r="E230">
        <v>-760</v>
      </c>
      <c r="F230" s="46">
        <v>1215</v>
      </c>
      <c r="G230">
        <v>-46</v>
      </c>
      <c r="H230">
        <v>761</v>
      </c>
      <c r="I230">
        <v>889</v>
      </c>
      <c r="J230">
        <v>-134</v>
      </c>
    </row>
    <row r="231" spans="2:10">
      <c r="B231" t="s">
        <v>139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140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141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142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143</v>
      </c>
      <c r="C235">
        <v>-14</v>
      </c>
      <c r="D235">
        <v>-35</v>
      </c>
      <c r="E235">
        <v>10</v>
      </c>
      <c r="F235">
        <v>48</v>
      </c>
      <c r="G235">
        <v>-63</v>
      </c>
      <c r="H235">
        <v>76</v>
      </c>
      <c r="I235">
        <v>-41</v>
      </c>
      <c r="J235">
        <v>5</v>
      </c>
    </row>
    <row r="236" spans="2:10">
      <c r="B236" t="s">
        <v>144</v>
      </c>
      <c r="C236">
        <v>-543</v>
      </c>
      <c r="D236" s="46">
        <v>5325</v>
      </c>
      <c r="E236" s="46">
        <v>-3275</v>
      </c>
      <c r="F236" s="46">
        <v>1262</v>
      </c>
      <c r="G236">
        <v>-110</v>
      </c>
      <c r="H236">
        <v>836</v>
      </c>
      <c r="I236">
        <v>-847</v>
      </c>
      <c r="J236">
        <v>-130</v>
      </c>
    </row>
    <row r="237" spans="2:10">
      <c r="B237" t="s">
        <v>145</v>
      </c>
      <c r="C237">
        <v>-178</v>
      </c>
      <c r="D237">
        <v>-210</v>
      </c>
      <c r="E237">
        <v>709</v>
      </c>
      <c r="F237">
        <v>234</v>
      </c>
      <c r="G237">
        <v>-249</v>
      </c>
      <c r="H237">
        <v>183</v>
      </c>
      <c r="I237">
        <v>205</v>
      </c>
      <c r="J237">
        <v>-145</v>
      </c>
    </row>
    <row r="238" spans="2:10">
      <c r="B238" t="s">
        <v>146</v>
      </c>
      <c r="C238" s="46">
        <v>-2738</v>
      </c>
      <c r="D238" s="46">
        <v>3936</v>
      </c>
      <c r="E238">
        <v>-343</v>
      </c>
      <c r="F238" s="46">
        <v>4307</v>
      </c>
      <c r="G238" s="46">
        <v>-1720</v>
      </c>
      <c r="H238" s="46">
        <v>2849</v>
      </c>
      <c r="I238">
        <v>652</v>
      </c>
      <c r="J238">
        <v>-802</v>
      </c>
    </row>
    <row r="239" spans="2:10">
      <c r="B239" t="s">
        <v>147</v>
      </c>
      <c r="C239" s="46">
        <v>25545</v>
      </c>
      <c r="D239" s="46">
        <v>21609</v>
      </c>
      <c r="E239" s="46">
        <v>21952</v>
      </c>
      <c r="F239" s="46">
        <v>17644</v>
      </c>
      <c r="G239" s="46">
        <v>19365</v>
      </c>
      <c r="H239" s="46">
        <v>16516</v>
      </c>
      <c r="I239" s="46">
        <v>15864</v>
      </c>
      <c r="J239" s="46">
        <v>16666</v>
      </c>
    </row>
    <row r="240" spans="2:10">
      <c r="B240" t="s">
        <v>148</v>
      </c>
      <c r="C240" s="46">
        <v>22806</v>
      </c>
      <c r="D240" s="46">
        <v>25545</v>
      </c>
      <c r="E240" s="46">
        <v>21609</v>
      </c>
      <c r="F240" s="46">
        <v>21952</v>
      </c>
      <c r="G240" s="46">
        <v>17644</v>
      </c>
      <c r="H240" s="46">
        <v>19365</v>
      </c>
      <c r="I240" s="46">
        <v>16516</v>
      </c>
      <c r="J240" s="46">
        <v>15864</v>
      </c>
    </row>
    <row r="241" spans="2:10">
      <c r="B241" t="s">
        <v>149</v>
      </c>
      <c r="C241">
        <v>33</v>
      </c>
      <c r="D241">
        <v>24</v>
      </c>
      <c r="E241">
        <v>24</v>
      </c>
      <c r="F241">
        <v>25</v>
      </c>
      <c r="G241">
        <v>18</v>
      </c>
      <c r="H241">
        <v>22</v>
      </c>
      <c r="I241">
        <v>15</v>
      </c>
      <c r="J241">
        <v>14</v>
      </c>
    </row>
    <row r="242" spans="2:10">
      <c r="B242" t="s">
        <v>150</v>
      </c>
      <c r="C242" t="s">
        <v>101</v>
      </c>
      <c r="D242" t="s">
        <v>101</v>
      </c>
      <c r="E242" t="s">
        <v>101</v>
      </c>
      <c r="F242" t="s">
        <v>101</v>
      </c>
      <c r="G242" t="s">
        <v>101</v>
      </c>
      <c r="H242" t="s">
        <v>101</v>
      </c>
      <c r="I242" t="s">
        <v>101</v>
      </c>
      <c r="J242" t="s">
        <v>101</v>
      </c>
    </row>
    <row r="243" spans="2:10">
      <c r="B243" t="s">
        <v>151</v>
      </c>
    </row>
    <row r="244" spans="2:10">
      <c r="B244" t="s">
        <v>152</v>
      </c>
    </row>
    <row r="245" spans="2:10">
      <c r="B245" t="s">
        <v>113</v>
      </c>
    </row>
    <row r="246" spans="2:10">
      <c r="B246" t="s">
        <v>114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T38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L24" sqref="L24"/>
    </sheetView>
  </sheetViews>
  <sheetFormatPr defaultRowHeight="16.5"/>
  <sheetData>
    <row r="1" spans="1:20">
      <c r="A1" t="s">
        <v>238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245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246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243</v>
      </c>
      <c r="R4" s="32"/>
      <c r="S4" s="32"/>
      <c r="T4" s="32"/>
    </row>
    <row r="5" spans="1:20">
      <c r="A5" s="32">
        <v>1442</v>
      </c>
      <c r="B5" s="32"/>
      <c r="C5" s="32" t="s">
        <v>239</v>
      </c>
      <c r="D5" s="32" t="s">
        <v>240</v>
      </c>
      <c r="E5" s="32" t="s">
        <v>241</v>
      </c>
      <c r="F5" s="32" t="s">
        <v>242</v>
      </c>
      <c r="G5" s="32" t="s">
        <v>239</v>
      </c>
      <c r="H5" s="32" t="s">
        <v>240</v>
      </c>
      <c r="I5" s="32" t="s">
        <v>241</v>
      </c>
      <c r="J5" s="32" t="s">
        <v>242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42312</v>
      </c>
      <c r="D6" s="32">
        <v>0</v>
      </c>
      <c r="E6" s="32">
        <v>0</v>
      </c>
      <c r="F6" s="32">
        <v>0</v>
      </c>
      <c r="G6" s="51">
        <v>42291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244</v>
      </c>
      <c r="R6" s="32"/>
      <c r="S6" s="32"/>
      <c r="T6" s="32"/>
    </row>
    <row r="7" spans="1:20">
      <c r="A7" s="32">
        <v>4722</v>
      </c>
      <c r="B7" s="32"/>
      <c r="C7" s="51">
        <v>42311</v>
      </c>
      <c r="D7" s="32">
        <v>0</v>
      </c>
      <c r="E7" s="32">
        <v>0</v>
      </c>
      <c r="F7" s="32">
        <v>0</v>
      </c>
      <c r="G7" s="51">
        <v>42290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42310</v>
      </c>
      <c r="D8" s="32">
        <v>0</v>
      </c>
      <c r="E8" s="32">
        <v>0</v>
      </c>
      <c r="F8" s="32">
        <v>0</v>
      </c>
      <c r="G8" s="51">
        <v>42289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42307</v>
      </c>
      <c r="D9" s="32">
        <v>0</v>
      </c>
      <c r="E9" s="32">
        <v>0</v>
      </c>
      <c r="F9" s="32">
        <v>0</v>
      </c>
      <c r="G9" s="51">
        <v>42285</v>
      </c>
      <c r="H9" s="32">
        <v>0</v>
      </c>
      <c r="I9" s="32">
        <v>0</v>
      </c>
      <c r="J9" s="32">
        <v>0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42306</v>
      </c>
      <c r="D10" s="32">
        <v>0</v>
      </c>
      <c r="E10" s="32">
        <v>0</v>
      </c>
      <c r="F10" s="32">
        <v>0</v>
      </c>
      <c r="G10" s="51">
        <v>42284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42305</v>
      </c>
      <c r="D11" s="32">
        <v>1</v>
      </c>
      <c r="E11" s="32">
        <v>0</v>
      </c>
      <c r="F11" s="32">
        <v>1</v>
      </c>
      <c r="G11" s="51">
        <v>42283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42304</v>
      </c>
      <c r="D12" s="32">
        <v>0</v>
      </c>
      <c r="E12" s="32">
        <v>0</v>
      </c>
      <c r="F12" s="32">
        <v>0</v>
      </c>
      <c r="G12" s="51">
        <v>42282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42303</v>
      </c>
      <c r="D13" s="32">
        <v>0</v>
      </c>
      <c r="E13" s="32">
        <v>0</v>
      </c>
      <c r="F13" s="32">
        <v>0</v>
      </c>
      <c r="G13" s="51">
        <v>42279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42300</v>
      </c>
      <c r="D14" s="32">
        <v>0</v>
      </c>
      <c r="E14" s="32">
        <v>0</v>
      </c>
      <c r="F14" s="32">
        <v>0</v>
      </c>
      <c r="G14" s="51">
        <v>42278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42299</v>
      </c>
      <c r="D15" s="32">
        <v>0</v>
      </c>
      <c r="E15" s="32">
        <v>0</v>
      </c>
      <c r="F15" s="32">
        <v>0</v>
      </c>
      <c r="G15" s="51">
        <v>42277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42298</v>
      </c>
      <c r="D16" s="32">
        <v>0</v>
      </c>
      <c r="E16" s="32">
        <v>0</v>
      </c>
      <c r="F16" s="32">
        <v>0</v>
      </c>
      <c r="G16" s="51">
        <v>42272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42297</v>
      </c>
      <c r="D17" s="32">
        <v>0</v>
      </c>
      <c r="E17" s="32">
        <v>0</v>
      </c>
      <c r="F17" s="32">
        <v>0</v>
      </c>
      <c r="G17" s="51">
        <v>42271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42296</v>
      </c>
      <c r="D18" s="32">
        <v>0</v>
      </c>
      <c r="E18" s="32">
        <v>0</v>
      </c>
      <c r="F18" s="32">
        <v>0</v>
      </c>
      <c r="G18" s="51">
        <v>42270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42293</v>
      </c>
      <c r="D19" s="32">
        <v>0</v>
      </c>
      <c r="E19" s="32">
        <v>0</v>
      </c>
      <c r="F19" s="32">
        <v>0</v>
      </c>
      <c r="G19" s="51">
        <v>42269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42292</v>
      </c>
      <c r="D20" s="32">
        <v>0</v>
      </c>
      <c r="E20" s="32">
        <v>0</v>
      </c>
      <c r="F20" s="32">
        <v>0</v>
      </c>
      <c r="G20" s="51">
        <v>42268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60" r:id="rId4" name="CommandButton2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0</xdr:rowOff>
              </from>
              <to>
                <xdr:col>0</xdr:col>
                <xdr:colOff>666750</xdr:colOff>
                <xdr:row>0</xdr:row>
                <xdr:rowOff>180975</xdr:rowOff>
              </to>
            </anchor>
          </controlPr>
        </control>
      </mc:Choice>
      <mc:Fallback>
        <control shapeId="19460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1</xdr:col>
                <xdr:colOff>114300</xdr:colOff>
                <xdr:row>0</xdr:row>
                <xdr:rowOff>9525</xdr:rowOff>
              </from>
              <to>
                <xdr:col>1</xdr:col>
                <xdr:colOff>333375</xdr:colOff>
                <xdr:row>0</xdr:row>
                <xdr:rowOff>180975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177</vt:i4>
      </vt:variant>
    </vt:vector>
  </HeadingPairs>
  <TitlesOfParts>
    <vt:vector size="195" baseType="lpstr">
      <vt:lpstr>基本設定</vt:lpstr>
      <vt:lpstr>收盤價</vt:lpstr>
      <vt:lpstr>紅綠燈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評比系統!外部資料_138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篩股系統!外部資料_1636</vt:lpstr>
      <vt:lpstr>篩股系統!外部資料_1661</vt:lpstr>
      <vt:lpstr>篩股系統!外部資料_2183</vt:lpstr>
      <vt:lpstr>篩股系統!外部資料_2788</vt:lpstr>
      <vt:lpstr>篩股系統!外部資料_2815</vt:lpstr>
      <vt:lpstr>篩股系統!外部資料_2834</vt:lpstr>
      <vt:lpstr>篩股系統!外部資料_2838</vt:lpstr>
      <vt:lpstr>篩股系統!外部資料_2850</vt:lpstr>
      <vt:lpstr>篩股系統!外部資料_2853</vt:lpstr>
      <vt:lpstr>福邦!外部資料_300</vt:lpstr>
      <vt:lpstr>福邦!外部資料_301</vt:lpstr>
      <vt:lpstr>福邦!外部資料_302</vt:lpstr>
      <vt:lpstr>福邦!外部資料_303</vt:lpstr>
      <vt:lpstr>福邦!外部資料_304</vt:lpstr>
      <vt:lpstr>福邦!外部資料_305</vt:lpstr>
      <vt:lpstr>福邦!外部資料_306</vt:lpstr>
      <vt:lpstr>福邦!外部資料_307</vt:lpstr>
      <vt:lpstr>福邦!外部資料_308</vt:lpstr>
      <vt:lpstr>福邦!外部資料_309</vt:lpstr>
      <vt:lpstr>福邦!外部資料_310</vt:lpstr>
      <vt:lpstr>福邦!外部資料_311</vt:lpstr>
      <vt:lpstr>福邦!外部資料_312</vt:lpstr>
      <vt:lpstr>福邦!外部資料_313</vt:lpstr>
      <vt:lpstr>福邦!外部資料_314</vt:lpstr>
      <vt:lpstr>福邦!外部資料_315</vt:lpstr>
      <vt:lpstr>福邦!外部資料_316</vt:lpstr>
      <vt:lpstr>福邦!外部資料_317</vt:lpstr>
      <vt:lpstr>福邦!外部資料_318</vt:lpstr>
      <vt:lpstr>福邦!外部資料_319</vt:lpstr>
      <vt:lpstr>福邦!外部資料_320</vt:lpstr>
      <vt:lpstr>福邦!外部資料_321</vt:lpstr>
      <vt:lpstr>福邦!外部資料_322</vt:lpstr>
      <vt:lpstr>福邦!外部資料_323</vt:lpstr>
      <vt:lpstr>福邦!外部資料_324</vt:lpstr>
      <vt:lpstr>福邦!外部資料_325</vt:lpstr>
      <vt:lpstr>福邦!外部資料_326</vt:lpstr>
      <vt:lpstr>福邦!外部資料_327</vt:lpstr>
      <vt:lpstr>福邦!外部資料_328</vt:lpstr>
      <vt:lpstr>篩股系統!外部資料_346</vt:lpstr>
      <vt:lpstr>評比系統!外部資料_51</vt:lpstr>
      <vt:lpstr>評比系統!外部資料_52</vt:lpstr>
      <vt:lpstr>評比系統!外部資料_53</vt:lpstr>
      <vt:lpstr>評比系統!外部資料_54</vt:lpstr>
      <vt:lpstr>評比系統!外部資料_55</vt:lpstr>
      <vt:lpstr>評比系統!外部資料_56</vt:lpstr>
      <vt:lpstr>評比系統!外部資料_57</vt:lpstr>
      <vt:lpstr>評比系統!外部資料_58</vt:lpstr>
      <vt:lpstr>PKC!外部資料_589</vt:lpstr>
      <vt:lpstr>評比系統!外部資料_59</vt:lpstr>
      <vt:lpstr>PKC!外部資料_590</vt:lpstr>
      <vt:lpstr>PKC!外部資料_591</vt:lpstr>
      <vt:lpstr>評比系統!外部資料_60</vt:lpstr>
      <vt:lpstr>評比系統!外部資料_61</vt:lpstr>
      <vt:lpstr>評比系統!外部資料_62</vt:lpstr>
      <vt:lpstr>評比系統!外部資料_63</vt:lpstr>
      <vt:lpstr>評比系統!外部資料_64</vt:lpstr>
      <vt:lpstr>評比系統!外部資料_65</vt:lpstr>
      <vt:lpstr>評比系統!外部資料_66</vt:lpstr>
      <vt:lpstr>評比系統!外部資料_67</vt:lpstr>
      <vt:lpstr>篩股系統!外部資料_671</vt:lpstr>
      <vt:lpstr>評比系統!外部資料_68</vt:lpstr>
      <vt:lpstr>評比系統!外部資料_69</vt:lpstr>
      <vt:lpstr>評比系統!外部資料_70</vt:lpstr>
      <vt:lpstr>評比系統!外部資料_71</vt:lpstr>
      <vt:lpstr>評比系統!外部資料_72</vt:lpstr>
      <vt:lpstr>評比系統!外部資料_73</vt:lpstr>
      <vt:lpstr>PKA!外部資料_733</vt:lpstr>
      <vt:lpstr>PKA!外部資料_734</vt:lpstr>
      <vt:lpstr>PKA!外部資料_735</vt:lpstr>
      <vt:lpstr>PKB!外部資料_737</vt:lpstr>
      <vt:lpstr>PKB!外部資料_738</vt:lpstr>
      <vt:lpstr>PKB!外部資料_739</vt:lpstr>
      <vt:lpstr>評比系統!外部資料_74</vt:lpstr>
      <vt:lpstr>評比系統!外部資料_75</vt:lpstr>
      <vt:lpstr>評比系統!外部資料_76</vt:lpstr>
      <vt:lpstr>評比系統!外部資料_77</vt:lpstr>
      <vt:lpstr>評比系統!外部資料_78</vt:lpstr>
      <vt:lpstr>營收搶先報!外部資料_78</vt:lpstr>
      <vt:lpstr>評比系統!外部資料_79</vt:lpstr>
      <vt:lpstr>營收搶先報!外部資料_79</vt:lpstr>
      <vt:lpstr>評比系統!外部資料_80</vt:lpstr>
      <vt:lpstr>營收搶先報!外部資料_80</vt:lpstr>
      <vt:lpstr>評比系統!外部資料_81</vt:lpstr>
      <vt:lpstr>營收搶先報!外部資料_81</vt:lpstr>
      <vt:lpstr>評比系統!外部資料_82</vt:lpstr>
      <vt:lpstr>營收搶先報!外部資料_82</vt:lpstr>
      <vt:lpstr>評比系統!外部資料_83</vt:lpstr>
      <vt:lpstr>營收搶先報!外部資料_83</vt:lpstr>
      <vt:lpstr>評比系統!外部資料_84</vt:lpstr>
      <vt:lpstr>營收搶先報!外部資料_84</vt:lpstr>
      <vt:lpstr>評比系統!外部資料_85</vt:lpstr>
      <vt:lpstr>營收搶先報!外部資料_85</vt:lpstr>
      <vt:lpstr>評比系統!外部資料_86</vt:lpstr>
      <vt:lpstr>評比系統!外部資料_87</vt:lpstr>
      <vt:lpstr>評比系統!外部資料_88</vt:lpstr>
      <vt:lpstr>評比系統!外部資料_89</vt:lpstr>
      <vt:lpstr>評比系統!外部資料_90</vt:lpstr>
      <vt:lpstr>評比系統!外部資料_91</vt:lpstr>
      <vt:lpstr>評比系統!外部資料_92</vt:lpstr>
      <vt:lpstr>評比系統!外部資料_93</vt:lpstr>
      <vt:lpstr>評比系統!外部資料_94</vt:lpstr>
      <vt:lpstr>評比系統!外部資料_95</vt:lpstr>
      <vt:lpstr>評比系統!外部資料_96</vt:lpstr>
      <vt:lpstr>評比系統!外部資料_97</vt:lpstr>
      <vt:lpstr>評比系統!外部資料_98</vt:lpstr>
      <vt:lpstr>評比系統!外部資料_99</vt:lpstr>
      <vt:lpstr>篩股系統!持股分佈_38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SW</cp:lastModifiedBy>
  <dcterms:created xsi:type="dcterms:W3CDTF">2015-03-09T15:48:32Z</dcterms:created>
  <dcterms:modified xsi:type="dcterms:W3CDTF">2015-11-12T13:06:49Z</dcterms:modified>
</cp:coreProperties>
</file>